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maves.sharepoint.com/sites/ENMAK2035/Shared Documents/Töörühmale/KSH aruanne/2024.04.08/"/>
    </mc:Choice>
  </mc:AlternateContent>
  <xr:revisionPtr revIDLastSave="2200" documentId="8_{153FEE8A-A48F-4263-B50F-5519D786AD44}" xr6:coauthVersionLast="47" xr6:coauthVersionMax="47" xr10:uidLastSave="{B632618F-30DA-4A72-B51C-9B5EE8543B66}"/>
  <bookViews>
    <workbookView xWindow="-120" yWindow="-120" windowWidth="51840" windowHeight="21120" xr2:uid="{6C0C6C0D-559A-4018-B9CB-AD3088D1033A}"/>
  </bookViews>
  <sheets>
    <sheet name="Tõetamm" sheetId="1" r:id="rId1"/>
    <sheet name="tehnoloogiad" sheetId="2" r:id="rId2"/>
    <sheet name="stsenaariumid elekter" sheetId="6" r:id="rId3"/>
    <sheet name="stsenaariumid soojus ja jahutus" sheetId="7" r:id="rId4"/>
    <sheet name="stsenaariumid gaasivõrgu dekarb" sheetId="8" r:id="rId5"/>
    <sheet name="õhuheitmed põlevkivielektrijam" sheetId="3" r:id="rId6"/>
    <sheet name="tuul ühikväärtused" sheetId="4" r:id="rId7"/>
    <sheet name="päike ühikväärtused" sheetId="5" r:id="rId8"/>
  </sheets>
  <definedNames>
    <definedName name="_xlnm._FilterDatabase" localSheetId="0" hidden="1">Tõetamm!$A$3:$Z$43</definedName>
    <definedName name="_xlnm._FilterDatabase" localSheetId="5" hidden="1">'õhuheitmed põlevkivielektrijam'!$A$3:$G$4</definedName>
    <definedName name="_ftn1" localSheetId="7">'päike ühikväärtused'!$A$14</definedName>
    <definedName name="_ftn3" localSheetId="7">'päike ühikväärtused'!$A$16</definedName>
    <definedName name="_ftnref1" localSheetId="6">'tuul ühikväärtused'!$J$24</definedName>
    <definedName name="_ftnref2" localSheetId="7">'päike ühikväärtused'!$A$2</definedName>
    <definedName name="_ftnref3" localSheetId="7">'päike ühikväärtused'!$A$3</definedName>
    <definedName name="_ftnref4" localSheetId="7">'päike ühikväärtused'!$A$7</definedName>
    <definedName name="_ftnref5" localSheetId="7">'päike ühikväärtused'!$A$9</definedName>
    <definedName name="_ftnref6" localSheetId="7">'päike ühikväärtused'!$A$10</definedName>
    <definedName name="_Ref159943250" localSheetId="7">'päike ühikväärtused'!$A$3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I43" i="1" l="1"/>
  <c r="J43" i="1"/>
  <c r="K43" i="1"/>
  <c r="L43" i="1"/>
  <c r="M43" i="1"/>
  <c r="N43" i="1"/>
  <c r="O43" i="1"/>
  <c r="H43" i="1"/>
  <c r="I42" i="1"/>
  <c r="J42" i="1"/>
  <c r="K42" i="1"/>
  <c r="L42" i="1"/>
  <c r="M42" i="1"/>
  <c r="N42" i="1"/>
  <c r="O42" i="1"/>
  <c r="H42" i="1"/>
  <c r="I38" i="1"/>
  <c r="J38" i="1"/>
  <c r="K38" i="1"/>
  <c r="L38" i="1"/>
  <c r="M38" i="1"/>
  <c r="N38" i="1"/>
  <c r="O38" i="1"/>
  <c r="H38" i="1"/>
  <c r="K33" i="1"/>
  <c r="L33" i="1"/>
  <c r="M33" i="1"/>
  <c r="N33" i="1"/>
  <c r="O33" i="1"/>
  <c r="J33" i="1"/>
  <c r="I33" i="1"/>
  <c r="I31" i="1"/>
  <c r="J31" i="1"/>
  <c r="K31" i="1"/>
  <c r="L31" i="1"/>
  <c r="M31" i="1"/>
  <c r="N31" i="1"/>
  <c r="O31" i="1"/>
  <c r="I32" i="1"/>
  <c r="J32" i="1"/>
  <c r="K32" i="1"/>
  <c r="L32" i="1"/>
  <c r="M32" i="1"/>
  <c r="N32" i="1"/>
  <c r="O32" i="1"/>
  <c r="H32" i="1"/>
  <c r="H31" i="1"/>
  <c r="I22" i="1"/>
  <c r="J22" i="1"/>
  <c r="K22" i="1"/>
  <c r="L22" i="1"/>
  <c r="M22" i="1"/>
  <c r="N22" i="1"/>
  <c r="O22" i="1"/>
  <c r="I23" i="1"/>
  <c r="J23" i="1"/>
  <c r="K23" i="1"/>
  <c r="L23" i="1"/>
  <c r="M23" i="1"/>
  <c r="N23" i="1"/>
  <c r="O23" i="1"/>
  <c r="I24" i="1"/>
  <c r="J24" i="1"/>
  <c r="K24" i="1"/>
  <c r="L24" i="1"/>
  <c r="M24" i="1"/>
  <c r="N24" i="1"/>
  <c r="O24" i="1"/>
  <c r="I25" i="1"/>
  <c r="J25" i="1"/>
  <c r="K25" i="1"/>
  <c r="L25" i="1"/>
  <c r="M25" i="1"/>
  <c r="N25" i="1"/>
  <c r="O25" i="1"/>
  <c r="I26" i="1"/>
  <c r="J26" i="1"/>
  <c r="K26" i="1"/>
  <c r="L26" i="1"/>
  <c r="M26" i="1"/>
  <c r="N26" i="1"/>
  <c r="O26" i="1"/>
  <c r="I27" i="1"/>
  <c r="J27" i="1"/>
  <c r="K27" i="1"/>
  <c r="L27" i="1"/>
  <c r="M27" i="1"/>
  <c r="N27" i="1"/>
  <c r="O27" i="1"/>
  <c r="H27" i="1"/>
  <c r="H26" i="1"/>
  <c r="H25" i="1"/>
  <c r="H24" i="1"/>
  <c r="H23" i="1"/>
  <c r="H22" i="1"/>
  <c r="K22" i="4"/>
  <c r="G23" i="4"/>
  <c r="I16" i="1"/>
  <c r="J16" i="1"/>
  <c r="K16" i="1"/>
  <c r="L16" i="1"/>
  <c r="M16" i="1"/>
  <c r="N16" i="1"/>
  <c r="O16" i="1"/>
  <c r="H16" i="1"/>
  <c r="J15" i="1"/>
  <c r="K15" i="1"/>
  <c r="L15" i="1"/>
  <c r="M15" i="1"/>
  <c r="N15" i="1"/>
  <c r="O15" i="1"/>
  <c r="I15" i="1"/>
  <c r="H15" i="1"/>
  <c r="Z34" i="1"/>
  <c r="Y34" i="1"/>
  <c r="X34" i="1"/>
  <c r="W34" i="1"/>
  <c r="Z10" i="1"/>
  <c r="Y10" i="1"/>
  <c r="X10" i="1"/>
  <c r="W10" i="1"/>
  <c r="R12" i="1" l="1"/>
  <c r="S12" i="1"/>
  <c r="T12" i="1"/>
  <c r="U12" i="1"/>
  <c r="Q12" i="1"/>
  <c r="R6" i="1"/>
  <c r="S6" i="1"/>
  <c r="T6" i="1"/>
  <c r="U6" i="1"/>
  <c r="Q6" i="1"/>
  <c r="R13" i="1"/>
  <c r="S13" i="1"/>
  <c r="T13" i="1"/>
  <c r="U13" i="1"/>
  <c r="Q13" i="1"/>
  <c r="R11" i="1"/>
  <c r="S11" i="1"/>
  <c r="T11" i="1"/>
  <c r="U11" i="1"/>
  <c r="Q11" i="1"/>
  <c r="D140" i="7"/>
  <c r="E140" i="7"/>
  <c r="F140" i="7"/>
  <c r="G140" i="7"/>
  <c r="H140" i="7"/>
  <c r="I140" i="7"/>
  <c r="J140" i="7"/>
  <c r="K140" i="7"/>
  <c r="L140" i="7"/>
  <c r="M140" i="7"/>
  <c r="N140" i="7"/>
  <c r="O140" i="7"/>
  <c r="P140" i="7"/>
  <c r="Q140" i="7"/>
  <c r="C140" i="7"/>
  <c r="R140" i="7"/>
  <c r="O14" i="7"/>
  <c r="C14" i="7"/>
  <c r="L14" i="7"/>
  <c r="I14" i="7"/>
  <c r="F14" i="7"/>
  <c r="C12" i="6" l="1"/>
  <c r="J11" i="6"/>
  <c r="I11" i="6"/>
  <c r="H11" i="6"/>
  <c r="G11" i="6"/>
  <c r="F11" i="6"/>
  <c r="E11" i="6"/>
  <c r="D11" i="6"/>
  <c r="C11" i="6"/>
  <c r="J5" i="3" l="1"/>
  <c r="H14" i="1"/>
  <c r="J31" i="6"/>
  <c r="I31" i="6"/>
  <c r="H31" i="6"/>
  <c r="G31" i="6"/>
  <c r="F31" i="6"/>
  <c r="E31" i="6"/>
  <c r="D31" i="6"/>
  <c r="C31" i="6"/>
  <c r="G12" i="5" l="1"/>
  <c r="I14" i="4"/>
  <c r="I4" i="4"/>
  <c r="I3" i="4"/>
  <c r="I5" i="4"/>
  <c r="I6" i="4"/>
  <c r="I7" i="4"/>
  <c r="I8" i="4"/>
  <c r="I9" i="4"/>
  <c r="I10" i="4"/>
  <c r="I11" i="4"/>
  <c r="I12" i="4"/>
  <c r="I13" i="4"/>
  <c r="G11" i="5"/>
  <c r="E11" i="5"/>
  <c r="B2" i="5"/>
  <c r="B11" i="5" s="1"/>
  <c r="B3" i="5"/>
  <c r="B4" i="5"/>
  <c r="B5" i="5"/>
  <c r="B6" i="5"/>
  <c r="B8" i="5"/>
  <c r="B10" i="5"/>
  <c r="D15" i="4"/>
  <c r="B15" i="4"/>
  <c r="H15" i="4"/>
  <c r="G15" i="4"/>
  <c r="K13" i="4" s="1"/>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 i="3"/>
  <c r="J4"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 i="3"/>
  <c r="L3" i="3"/>
  <c r="L4" i="3"/>
  <c r="L5" i="3"/>
  <c r="L6" i="3"/>
  <c r="L7" i="3"/>
  <c r="K8" i="3"/>
  <c r="L9" i="3"/>
  <c r="L10" i="3"/>
  <c r="L11" i="3"/>
  <c r="L12" i="3"/>
  <c r="L13" i="3"/>
  <c r="L14" i="3"/>
  <c r="L15" i="3"/>
  <c r="L16" i="3"/>
  <c r="L17" i="3"/>
  <c r="L18" i="3"/>
  <c r="L19" i="3"/>
  <c r="L20" i="3"/>
  <c r="L21" i="3"/>
  <c r="L22" i="3"/>
  <c r="L23" i="3"/>
  <c r="L24" i="3"/>
  <c r="L25" i="3"/>
  <c r="L26" i="3"/>
  <c r="L27" i="3"/>
  <c r="L28" i="3"/>
  <c r="L29" i="3"/>
  <c r="L30" i="3"/>
  <c r="L31" i="3"/>
  <c r="L32" i="3"/>
  <c r="K33" i="3"/>
  <c r="H35" i="1" s="1"/>
  <c r="K34" i="3"/>
  <c r="H37" i="1" s="1"/>
  <c r="L35" i="3"/>
  <c r="I37" i="1" l="1"/>
  <c r="J37" i="1"/>
  <c r="K37" i="1"/>
  <c r="L37" i="1"/>
  <c r="M37" i="1"/>
  <c r="N37" i="1"/>
  <c r="O37" i="1"/>
  <c r="I35" i="1"/>
  <c r="J35" i="1"/>
  <c r="M35" i="1"/>
  <c r="N35" i="1"/>
  <c r="O35" i="1"/>
  <c r="K35" i="1"/>
  <c r="L35" i="1"/>
  <c r="I15" i="4"/>
  <c r="K14" i="4" s="1"/>
  <c r="I40" i="1"/>
  <c r="N40" i="1"/>
  <c r="M40" i="1"/>
  <c r="L40" i="1"/>
  <c r="K40" i="1"/>
  <c r="J40" i="1"/>
  <c r="H40" i="1"/>
  <c r="O40" i="1"/>
  <c r="K10" i="4"/>
  <c r="H13" i="1"/>
  <c r="E40" i="6"/>
  <c r="J13" i="1" s="1"/>
  <c r="F40" i="6"/>
  <c r="K13" i="1" s="1"/>
  <c r="G40" i="6"/>
  <c r="L13" i="1" s="1"/>
  <c r="H40" i="6"/>
  <c r="M13" i="1" s="1"/>
  <c r="I40" i="6"/>
  <c r="N13" i="1" s="1"/>
  <c r="D40" i="6"/>
  <c r="I13" i="1" s="1"/>
  <c r="J40" i="6"/>
  <c r="O13" i="1" s="1"/>
  <c r="H12" i="1"/>
  <c r="F39" i="6"/>
  <c r="H39" i="6"/>
  <c r="I39" i="6"/>
  <c r="J39" i="6"/>
  <c r="D39" i="6"/>
  <c r="G39" i="6"/>
  <c r="E39" i="6"/>
  <c r="H11" i="1"/>
  <c r="K11" i="4" l="1"/>
  <c r="J12" i="1"/>
  <c r="J11" i="1"/>
  <c r="M12" i="1"/>
  <c r="M11" i="1"/>
  <c r="L12" i="1"/>
  <c r="L11" i="1"/>
  <c r="I12" i="1"/>
  <c r="I11" i="1"/>
  <c r="O12" i="1"/>
  <c r="O11" i="1"/>
  <c r="N12" i="1"/>
  <c r="N11" i="1"/>
  <c r="K12" i="1"/>
  <c r="K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tc={0ED3B86F-C933-45D7-850E-2692A7BD605D}</author>
    <author>tc={0AE2C60D-5B6F-4400-B0D6-F37078F9A0D8}</author>
    <author>tc={F63C7848-544E-4861-898B-36D2FA4B541A}</author>
    <author>tc={B212ABF0-62BD-4302-BCB5-A2272173C3EB}</author>
    <author>tc={6DE1025A-39DB-4FF9-9867-8F5833469A46}</author>
    <author>tc={3C506CB9-532F-43B5-BA54-1521834D2F37}</author>
    <author>tc={B261FDFA-A836-4847-AC7F-DC547D321740}</author>
    <author>tc={C30B3E9B-F775-4458-B7BF-7A138857AA63}</author>
    <author>tc={121C2342-2DE6-4956-BD6B-BB394A0271E4}</author>
    <author>tc={D1FE20AB-2515-46CA-A69C-4F643EBFD5AE}</author>
    <author>tc={8C9D7169-A0C1-4C5C-844A-F333E4D70985}</author>
    <author>tc={24593908-0362-4F4B-B90E-BC68B4FC4DD1}</author>
    <author>tc={F82173B2-F58F-4680-9B91-A7C94118976C}</author>
    <author>tc={7B68E140-A6A3-4377-A46A-AFCDE9E7C7F1}</author>
    <author>tc={FCED6145-0ED8-4DC5-BBE3-7AC60F04CB30}</author>
    <author>tc={DFE8BEC7-E463-4C0D-9507-C75F3AE43EA0}</author>
    <author>tc={7624A59E-A11D-471A-83FA-A2FDE52FBF5F}</author>
    <author>tc={2D93227A-08BF-4B67-BA1C-30C381AFEBC2}</author>
    <author>tc={A86135B7-057B-43BD-9B85-49361EB85011}</author>
    <author>tc={2DA14A2A-F497-4155-A877-312435224B97}</author>
    <author>tc={C98B8AEE-A6C6-4C1D-B5AD-56F97E7D00A7}</author>
    <author>tc={72686EDE-AD2C-4AA9-AB0F-F71E68B3F1A2}</author>
    <author>tc={59F6B12A-1C98-47AD-BB3B-D80C196D100E}</author>
    <author>tc={F5490259-BE39-4277-8694-8085D6C1C29B}</author>
    <author>tc={24DD1BD9-4AC4-49C6-95CD-F0278A05F953}</author>
    <author>tc={1607E5FF-F94B-4B4B-9B22-A1EA32E1CDD6}</author>
    <author>tc={DCC4E832-3BBC-4789-8BE2-01437232BF7D}</author>
    <author>tc={48548DB0-762B-4E33-84F8-563DD96B06DB}</author>
    <author>tc={706FA423-2A9A-4EC4-A52D-CF6DCB3F6DFE}</author>
    <author>tc={B6297686-3DA5-4A5B-92A1-AF05D36871D4}</author>
    <author>tc={78D3E84A-1D22-44BD-956E-90E91D1C76DD}</author>
    <author>tc={0975698B-0C6E-4A53-8632-AE37BB8828D9}</author>
    <author>tc={E11CA33D-1010-4A50-A296-4ED5BEBD6310}</author>
    <author>tc={E49245DD-EB09-4261-9C64-89BE63CA1DB7}</author>
    <author>tc={CAF139D2-6D5E-4D6B-856A-E0AFD242E905}</author>
    <author>tc={577D51F2-E8CC-4128-AB9E-065FE6D0CCE5}</author>
    <author>tc={6F864941-1DB7-4361-AF56-8E43FBB03099}</author>
    <author>tc={61B99D28-7548-47B3-8DDB-16E47ECEED27}</author>
    <author>tc={C833B088-5C78-4333-BA6D-EE7F00C96592}</author>
    <author>tc={EC2784D7-5A7C-4ED3-8F8D-33DCCF3C9E99}</author>
    <author>tc={6FECD72D-EA3C-43B5-A4F2-3BE644C82665}</author>
    <author>tc={126E9EC7-02DA-40DA-9577-71B2B125E6D2}</author>
    <author>tc={2566677E-08A8-4374-8B82-9D86E686EFB3}</author>
    <author>tc={0AE48DDE-CE65-4C59-AF7C-7B5158974A92}</author>
    <author>tc={4ABEF343-DD98-40FA-A8CC-48C23239F6E2}</author>
    <author>tc={CAE352AC-60F0-4BCA-87C3-D42182DC9182}</author>
    <author>tc={76D35EAA-04EE-4785-A50A-32FD76A4C40F}</author>
    <author>tc={54BCB37D-DF85-4853-A617-2EAAB60375AB}</author>
    <author>tc={3F1A58A8-7D85-4D64-B44B-500CE1094086}</author>
    <author>tc={A2AC5112-F2D4-49B4-8B38-A9B0457E48A7}</author>
    <author>tc={6F7C3D90-753C-4C08-88B2-330AF1D56E9B}</author>
    <author>tc={61EA6C48-AEF5-4C98-960C-C2856BAF3941}</author>
    <author>tc={E2849815-B29F-41F3-9428-527CBEF3BF60}</author>
    <author>tc={4C33A144-E49C-46C1-9E08-6415CBD5CD5F}</author>
    <author>tc={0A25BE82-1F6A-4095-86E7-AFE7669022C4}</author>
    <author>tc={4791917E-762D-4439-A03A-122ED948DAC7}</author>
    <author>tc={8A93B545-C2AA-4C9D-97FA-8E6B5FE1B140}</author>
    <author>tc={2F6AA046-406C-480C-9CDF-686C0D412703}</author>
    <author>tc={521E6F65-6161-456F-8571-285DA72F1077}</author>
    <author>tc={380D2B04-0872-4051-AD35-4376D453A47E}</author>
    <author>tc={EF2397F3-7470-4730-9EEE-30E3F32FC612}</author>
    <author>tc={5BB1A31B-5BCC-4A63-AC25-008921958362}</author>
    <author>tc={C7FB081A-78E6-4B09-8ABB-A4EF3D3F5E82}</author>
    <author>tc={DD24B848-6D07-441B-9881-62320C84B7EB}</author>
    <author>tc={55EC1FD9-7D3C-4A13-BF0A-CF98651C8C75}</author>
    <author>tc={034DD52B-3613-4BA9-8466-1DCC3E0E545B}</author>
    <author>tc={92653DB4-6FD6-40E2-BDA2-C440224987C0}</author>
    <author>tc={AF83D4A0-FF67-4C17-B7AD-F444B0612C73}</author>
    <author>tc={783F2C91-2910-4BBF-968F-16B76D6BB650}</author>
    <author>tc={54CD79EA-399F-4BE5-9E01-035EEFD673E2}</author>
    <author>tc={0C32C7BC-8D53-415C-AEF2-0034F0E4761B}</author>
    <author>tc={91050EF3-5F73-4574-824E-6C908C1A84E2}</author>
    <author>tc={87DFC843-230B-4CC4-86EF-9893BC4AA78C}</author>
    <author>tc={70F3ED56-B460-4429-9F4A-569512005F06}</author>
    <author>tc={4405B4F1-808E-4D0C-A439-B5BB56EC44ED}</author>
    <author>tc={A55D39F6-AF70-4477-8EFB-2103C623F5C7}</author>
    <author>tc={ACCBBEF2-4867-47B0-BD2F-2039AB17D2E1}</author>
    <author>tc={DA55D22A-59E1-4D93-A3D3-A61E8197FA94}</author>
    <author>tc={A961444A-EF44-48D4-8899-2173267AB806}</author>
    <author>tc={4A48BAE2-B968-4336-9F89-FCE809110287}</author>
    <author>tc={DF50DB06-7A14-4CF9-8A60-21A192E8303E}</author>
    <author>tc={2C0CE682-C192-43A7-888D-CE0F0C40099D}</author>
    <author>tc={98357E3A-3405-4093-A0F6-160F5AEC8A01}</author>
    <author>tc={787AC68C-7DAE-492B-81EA-CB1EE84C388A}</author>
    <author>tc={DD82CF20-A160-4DCF-87ED-05E16BA5A80F}</author>
  </authors>
  <commentList>
    <comment ref="H6" authorId="0" shapeId="0" xr:uid="{0ED3B86F-C933-45D7-850E-2692A7BD605D}">
      <text>
        <t>[Threaded comment]
Your version of Excel allows you to read this threaded comment; however, any edits to it will get removed if the file is opened in a newer version of Excel. Learn more: https://go.microsoft.com/fwlink/?linkid=870924
Comment:
    Allikas: 
Demurtas, A., Cheikh, N., Smith, M., Rademaekers, K., Suik, K., Tammiste, L., 2022. Transitioning to a climate-neutral lectricity generation in Estonia Deliverable 7 Report Action plan Final Report. Trinomics</t>
      </text>
    </comment>
    <comment ref="I6" authorId="1" shapeId="0" xr:uid="{0AE2C60D-5B6F-4400-B0D6-F37078F9A0D8}">
      <text>
        <t>[Threaded comment]
Your version of Excel allows you to read this threaded comment; however, any edits to it will get removed if the file is opened in a newer version of Excel. Learn more: https://go.microsoft.com/fwlink/?linkid=870924
Comment:
    Demurtas, A., Cheikh, N., Smith, M., Rademaekers, K., Suik, K., Tammiste, L., 2022. Transitioning to a climate-neutral lectricity generation in Estonia Deliverable 7 Report Action plan Final Report. Trinomics</t>
      </text>
    </comment>
    <comment ref="J6" authorId="2" shapeId="0" xr:uid="{F63C7848-544E-4861-898B-36D2FA4B541A}">
      <text>
        <t>[Threaded comment]
Your version of Excel allows you to read this threaded comment; however, any edits to it will get removed if the file is opened in a newer version of Excel. Learn more: https://go.microsoft.com/fwlink/?linkid=870924
Comment:
    Demurtas, A., Cheikh, N., Smith, M., Rademaekers, K., Suik, K., Tammiste, L., 2022. Transitioning to a climate-neutral lectricity generation in Estonia Deliverable 7 Report Action plan Final Report. Trinomics</t>
      </text>
    </comment>
    <comment ref="K6" authorId="3" shapeId="0" xr:uid="{B212ABF0-62BD-4302-BCB5-A2272173C3EB}">
      <text>
        <t>[Threaded comment]
Your version of Excel allows you to read this threaded comment; however, any edits to it will get removed if the file is opened in a newer version of Excel. Learn more: https://go.microsoft.com/fwlink/?linkid=870924
Comment:
    Demurtas, A., Cheikh, N., Smith, M., Rademaekers, K., Suik, K., Tammiste, L., 2022. Transitioning to a climate-neutral lectricity generation in Estonia Deliverable 7 Report Action plan Final Report. Trinomics</t>
      </text>
    </comment>
    <comment ref="L6" authorId="4" shapeId="0" xr:uid="{6DE1025A-39DB-4FF9-9867-8F5833469A46}">
      <text>
        <t>[Threaded comment]
Your version of Excel allows you to read this threaded comment; however, any edits to it will get removed if the file is opened in a newer version of Excel. Learn more: https://go.microsoft.com/fwlink/?linkid=870924
Comment:
    Demurtas, A., Cheikh, N., Smith, M., Rademaekers, K., Suik, K., Tammiste, L., 2022. Transitioning to a climate-neutral lectricity generation in Estonia Deliverable 7 Report Action plan Final Report. Trinomics</t>
      </text>
    </comment>
    <comment ref="M6" authorId="5" shapeId="0" xr:uid="{3C506CB9-532F-43B5-BA54-1521834D2F37}">
      <text>
        <t>[Threaded comment]
Your version of Excel allows you to read this threaded comment; however, any edits to it will get removed if the file is opened in a newer version of Excel. Learn more: https://go.microsoft.com/fwlink/?linkid=870924
Comment:
    Demurtas, A., Cheikh, N., Smith, M., Rademaekers, K., Suik, K., Tammiste, L., 2022. Transitioning to a climate-neutral lectricity generation in Estonia Deliverable 7 Report Action plan Final Report. Trinomics</t>
      </text>
    </comment>
    <comment ref="N6" authorId="6" shapeId="0" xr:uid="{B261FDFA-A836-4847-AC7F-DC547D321740}">
      <text>
        <t>[Threaded comment]
Your version of Excel allows you to read this threaded comment; however, any edits to it will get removed if the file is opened in a newer version of Excel. Learn more: https://go.microsoft.com/fwlink/?linkid=870924
Comment:
    Demurtas, A., Cheikh, N., Smith, M., Rademaekers, K., Suik, K., Tammiste, L., 2022. Transitioning to a climate-neutral lectricity generation in Estonia Deliverable 7 Report Action plan Final Report. Trinomics</t>
      </text>
    </comment>
    <comment ref="O6" authorId="7" shapeId="0" xr:uid="{C30B3E9B-F775-4458-B7BF-7A138857AA63}">
      <text>
        <t>[Threaded comment]
Your version of Excel allows you to read this threaded comment; however, any edits to it will get removed if the file is opened in a newer version of Excel. Learn more: https://go.microsoft.com/fwlink/?linkid=870924
Comment:
    Demurtas, A., Cheikh, N., Smith, M., Rademaekers, K., Suik, K., Tammiste, L., 2022. Transitioning to a climate-neutral lectricity generation in Estonia Deliverable 7 Report Action plan Final Report. Trinomics</t>
      </text>
    </comment>
    <comment ref="P6" authorId="8" shapeId="0" xr:uid="{121C2342-2DE6-4956-BD6B-BB394A0271E4}">
      <text>
        <t>[Threaded comment]
Your version of Excel allows you to read this threaded comment; however, any edits to it will get removed if the file is opened in a newer version of Excel. Learn more: https://go.microsoft.com/fwlink/?linkid=870924
Comment:
    Tänapäeval kasutatav F gaas on R-32. Selle kogust soojuse tootmismahu kaudu hinnata ei ole võimalik. Teatava indikatsiooni annavad erinevates stsenaariumites kasutatud soojuspumpade tootmismahud.</t>
      </text>
    </comment>
    <comment ref="D9" authorId="9" shapeId="0" xr:uid="{D1FE20AB-2515-46CA-A69C-4F643EBFD5AE}">
      <text>
        <t>[Threaded comment]
Your version of Excel allows you to read this threaded comment; however, any edits to it will get removed if the file is opened in a newer version of Excel. Learn more: https://go.microsoft.com/fwlink/?linkid=870924
Comment:
    Happevihmad on happeid tekitavad sademed. Happevihmad moodustuvad, kui mitmesugused saasteained (SO2, NOx, NH3) lahustuvad vihmavees ning tekitavad happeid.</t>
      </text>
    </comment>
    <comment ref="H10" authorId="10" shapeId="0" xr:uid="{8C9D7169-A0C1-4C5C-844A-F333E4D70985}">
      <text>
        <t>[Threaded comment]
Your version of Excel allows you to read this threaded comment; however, any edits to it will get removed if the file is opened in a newer version of Excel. Learn more: https://go.microsoft.com/fwlink/?linkid=870924
Comment:
    Ringleva materjali määr ei ole usutavalt prognoositav.</t>
      </text>
    </comment>
    <comment ref="I10" authorId="11" shapeId="0" xr:uid="{24593908-0362-4F4B-B90E-BC68B4FC4DD1}">
      <text>
        <t>[Threaded comment]
Your version of Excel allows you to read this threaded comment; however, any edits to it will get removed if the file is opened in a newer version of Excel. Learn more: https://go.microsoft.com/fwlink/?linkid=870924
Comment:
    Ringleva materjali määr ei ole usutavalt prognoositav.</t>
      </text>
    </comment>
    <comment ref="J10" authorId="12" shapeId="0" xr:uid="{F82173B2-F58F-4680-9B91-A7C94118976C}">
      <text>
        <t>[Threaded comment]
Your version of Excel allows you to read this threaded comment; however, any edits to it will get removed if the file is opened in a newer version of Excel. Learn more: https://go.microsoft.com/fwlink/?linkid=870924
Comment:
    Ringleva materjali määr ei ole usutavalt prognoositav.</t>
      </text>
    </comment>
    <comment ref="K10" authorId="13" shapeId="0" xr:uid="{7B68E140-A6A3-4377-A46A-AFCDE9E7C7F1}">
      <text>
        <t>[Threaded comment]
Your version of Excel allows you to read this threaded comment; however, any edits to it will get removed if the file is opened in a newer version of Excel. Learn more: https://go.microsoft.com/fwlink/?linkid=870924
Comment:
    Ringleva materjali määr ei ole usutavalt prognoositav.</t>
      </text>
    </comment>
    <comment ref="L10" authorId="14" shapeId="0" xr:uid="{FCED6145-0ED8-4DC5-BBE3-7AC60F04CB30}">
      <text>
        <t>[Threaded comment]
Your version of Excel allows you to read this threaded comment; however, any edits to it will get removed if the file is opened in a newer version of Excel. Learn more: https://go.microsoft.com/fwlink/?linkid=870924
Comment:
    Ringleva materjali määr ei ole usutavalt prognoositav.</t>
      </text>
    </comment>
    <comment ref="M10" authorId="15" shapeId="0" xr:uid="{DFE8BEC7-E463-4C0D-9507-C75F3AE43EA0}">
      <text>
        <t>[Threaded comment]
Your version of Excel allows you to read this threaded comment; however, any edits to it will get removed if the file is opened in a newer version of Excel. Learn more: https://go.microsoft.com/fwlink/?linkid=870924
Comment:
    Ringleva materjali määr ei ole usutavalt prognoositav.</t>
      </text>
    </comment>
    <comment ref="N10" authorId="16" shapeId="0" xr:uid="{7624A59E-A11D-471A-83FA-A2FDE52FBF5F}">
      <text>
        <t>[Threaded comment]
Your version of Excel allows you to read this threaded comment; however, any edits to it will get removed if the file is opened in a newer version of Excel. Learn more: https://go.microsoft.com/fwlink/?linkid=870924
Comment:
    Ringleva materjali määr ei ole usutavalt prognoositav.</t>
      </text>
    </comment>
    <comment ref="O10" authorId="17" shapeId="0" xr:uid="{2D93227A-08BF-4B67-BA1C-30C381AFEBC2}">
      <text>
        <t>[Threaded comment]
Your version of Excel allows you to read this threaded comment; however, any edits to it will get removed if the file is opened in a newer version of Excel. Learn more: https://go.microsoft.com/fwlink/?linkid=870924
Comment:
    Ringleva materjali määr ei ole usutavalt prognoositav.</t>
      </text>
    </comment>
    <comment ref="D11" authorId="18" shapeId="0" xr:uid="{A86135B7-057B-43BD-9B85-49361EB85011}">
      <text>
        <t>[Threaded comment]
Your version of Excel allows you to read this threaded comment; however, any edits to it will get removed if the file is opened in a newer version of Excel. Learn more: https://go.microsoft.com/fwlink/?linkid=870924
Comment:
    Happevihmad on happeid tekitavad sademed. Happevihmad moodustuvad, kui mitmesugused saasteained (SO2, NOx, NH3) lahustuvad vihmavees ning tekitavad happeid.</t>
      </text>
    </comment>
    <comment ref="H11" authorId="19" shapeId="0" xr:uid="{2DA14A2A-F497-4155-A877-312435224B97}">
      <text>
        <t>[Threaded comment]
Your version of Excel allows you to read this threaded comment; however, any edits to it will get removed if the file is opened in a newer version of Excel. Learn more: https://go.microsoft.com/fwlink/?linkid=870924
Comment:
    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
      </text>
    </comment>
    <comment ref="I11" authorId="20" shapeId="0" xr:uid="{C98B8AEE-A6C6-4C1D-B5AD-56F97E7D00A7}">
      <text>
        <t>[Threaded comment]
Your version of Excel allows you to read this threaded comment; however, any edits to it will get removed if the file is opened in a newer version of Excel. Learn more: https://go.microsoft.com/fwlink/?linkid=870924
Comment:
    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
      </text>
    </comment>
    <comment ref="J11" authorId="21" shapeId="0" xr:uid="{72686EDE-AD2C-4AA9-AB0F-F71E68B3F1A2}">
      <text>
        <t>[Threaded comment]
Your version of Excel allows you to read this threaded comment; however, any edits to it will get removed if the file is opened in a newer version of Excel. Learn more: https://go.microsoft.com/fwlink/?linkid=870924
Comment:
    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
      </text>
    </comment>
    <comment ref="K11" authorId="22" shapeId="0" xr:uid="{59F6B12A-1C98-47AD-BB3B-D80C196D100E}">
      <text>
        <t>[Threaded comment]
Your version of Excel allows you to read this threaded comment; however, any edits to it will get removed if the file is opened in a newer version of Excel. Learn more: https://go.microsoft.com/fwlink/?linkid=870924
Comment:
    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
      </text>
    </comment>
    <comment ref="L11" authorId="23" shapeId="0" xr:uid="{F5490259-BE39-4277-8694-8085D6C1C29B}">
      <text>
        <t>[Threaded comment]
Your version of Excel allows you to read this threaded comment; however, any edits to it will get removed if the file is opened in a newer version of Excel. Learn more: https://go.microsoft.com/fwlink/?linkid=870924
Comment:
    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
      </text>
    </comment>
    <comment ref="M11" authorId="24" shapeId="0" xr:uid="{24DD1BD9-4AC4-49C6-95CD-F0278A05F953}">
      <text>
        <t>[Threaded comment]
Your version of Excel allows you to read this threaded comment; however, any edits to it will get removed if the file is opened in a newer version of Excel. Learn more: https://go.microsoft.com/fwlink/?linkid=870924
Comment:
    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
      </text>
    </comment>
    <comment ref="N11" authorId="25" shapeId="0" xr:uid="{1607E5FF-F94B-4B4B-9B22-A1EA32E1CDD6}">
      <text>
        <t>[Threaded comment]
Your version of Excel allows you to read this threaded comment; however, any edits to it will get removed if the file is opened in a newer version of Excel. Learn more: https://go.microsoft.com/fwlink/?linkid=870924
Comment:
    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
      </text>
    </comment>
    <comment ref="O11" authorId="26" shapeId="0" xr:uid="{DCC4E832-3BBC-4789-8BE2-01437232BF7D}">
      <text>
        <t>[Threaded comment]
Your version of Excel allows you to read this threaded comment; however, any edits to it will get removed if the file is opened in a newer version of Excel. Learn more: https://go.microsoft.com/fwlink/?linkid=870924
Comment:
    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
      </text>
    </comment>
    <comment ref="D12" authorId="27" shapeId="0" xr:uid="{48548DB0-762B-4E33-84F8-563DD96B06DB}">
      <text>
        <t>[Threaded comment]
Your version of Excel allows you to read this threaded comment; however, any edits to it will get removed if the file is opened in a newer version of Excel. Learn more: https://go.microsoft.com/fwlink/?linkid=870924
Comment:
    Happevihmad on happeid tekitavad sademed. Happevihmad moodustuvad, kui mitmesugused saasteained (SO2, NOx, NH3) lahustuvad vihmavees ning tekitavad happeid.</t>
      </text>
    </comment>
    <comment ref="H12" authorId="28" shapeId="0" xr:uid="{706FA423-2A9A-4EC4-A52D-CF6DCB3F6DFE}">
      <text>
        <t>[Threaded comment]
Your version of Excel allows you to read this threaded comment; however, any edits to it will get removed if the file is opened in a newer version of Excel. Learn more: https://go.microsoft.com/fwlink/?linkid=870924
Comment:
    Andmed energeetikasektori kohta aastal 2020 lähtuvalt "Teatavate õhusaasteainete heitkoguste vähendamise riikliku programmi aastateks 2020-2030 ajakohastamine".</t>
      </text>
    </comment>
    <comment ref="I12" authorId="29" shapeId="0" xr:uid="{B6297686-3DA5-4A5B-92A1-AF05D36871D4}">
      <text>
        <t>[Threaded comment]
Your version of Excel allows you to read this threaded comment; however, any edits to it will get removed if the file is opened in a newer version of Excel. Learn more: https://go.microsoft.com/fwlink/?linkid=870924
Comment:
    Andmed energeetikasektori kohta aastal 2020 lähtuvalt "Teatavate õhusaasteainete heitkoguste vähendamise riikliku programmi aastateks 2020-2030 ajakohastamine".</t>
      </text>
    </comment>
    <comment ref="J12" authorId="30" shapeId="0" xr:uid="{78D3E84A-1D22-44BD-956E-90E91D1C76DD}">
      <text>
        <t>[Threaded comment]
Your version of Excel allows you to read this threaded comment; however, any edits to it will get removed if the file is opened in a newer version of Excel. Learn more: https://go.microsoft.com/fwlink/?linkid=870924
Comment:
    Andmed energeetikasektori kohta aastal 2020 lähtuvalt "Teatavate õhusaasteainete heitkoguste vähendamise riikliku programmi aastateks 2020-2030 ajakohastamine".</t>
      </text>
    </comment>
    <comment ref="K12" authorId="31" shapeId="0" xr:uid="{0975698B-0C6E-4A53-8632-AE37BB8828D9}">
      <text>
        <t>[Threaded comment]
Your version of Excel allows you to read this threaded comment; however, any edits to it will get removed if the file is opened in a newer version of Excel. Learn more: https://go.microsoft.com/fwlink/?linkid=870924
Comment:
    Andmed energeetikasektori kohta aastal 2020 lähtuvalt "Teatavate õhusaasteainete heitkoguste vähendamise riikliku programmi aastateks 2020-2030 ajakohastamine".</t>
      </text>
    </comment>
    <comment ref="L12" authorId="32" shapeId="0" xr:uid="{E11CA33D-1010-4A50-A296-4ED5BEBD6310}">
      <text>
        <t>[Threaded comment]
Your version of Excel allows you to read this threaded comment; however, any edits to it will get removed if the file is opened in a newer version of Excel. Learn more: https://go.microsoft.com/fwlink/?linkid=870924
Comment:
    Andmed energeetikasektori kohta aastal 2020 lähtuvalt "Teatavate õhusaasteainete heitkoguste vähendamise riikliku programmi aastateks 2020-2030 ajakohastamine".</t>
      </text>
    </comment>
    <comment ref="M12" authorId="33" shapeId="0" xr:uid="{E49245DD-EB09-4261-9C64-89BE63CA1DB7}">
      <text>
        <t>[Threaded comment]
Your version of Excel allows you to read this threaded comment; however, any edits to it will get removed if the file is opened in a newer version of Excel. Learn more: https://go.microsoft.com/fwlink/?linkid=870924
Comment:
    Andmed energeetikasektori kohta aastal 2020 lähtuvalt "Teatavate õhusaasteainete heitkoguste vähendamise riikliku programmi aastateks 2020-2030 ajakohastamine".</t>
      </text>
    </comment>
    <comment ref="N12" authorId="34" shapeId="0" xr:uid="{CAF139D2-6D5E-4D6B-856A-E0AFD242E905}">
      <text>
        <t>[Threaded comment]
Your version of Excel allows you to read this threaded comment; however, any edits to it will get removed if the file is opened in a newer version of Excel. Learn more: https://go.microsoft.com/fwlink/?linkid=870924
Comment:
    Andmed energeetikasektori kohta aastal 2020 lähtuvalt "Teatavate õhusaasteainete heitkoguste vähendamise riikliku programmi aastateks 2020-2030 ajakohastamine".</t>
      </text>
    </comment>
    <comment ref="O12" authorId="35" shapeId="0" xr:uid="{577D51F2-E8CC-4128-AB9E-065FE6D0CCE5}">
      <text>
        <t>[Threaded comment]
Your version of Excel allows you to read this threaded comment; however, any edits to it will get removed if the file is opened in a newer version of Excel. Learn more: https://go.microsoft.com/fwlink/?linkid=870924
Comment:
    Andmed energeetikasektori kohta aastal 2020 lähtuvalt "Teatavate õhusaasteainete heitkoguste vähendamise riikliku programmi aastateks 2020-2030 ajakohastamine".</t>
      </text>
    </comment>
    <comment ref="V12" authorId="36" shapeId="0" xr:uid="{6F864941-1DB7-4361-AF56-8E43FBB03099}">
      <text>
        <t xml:space="preserve">[Threaded comment]
Your version of Excel allows you to read this threaded comment; however, any edits to it will get removed if the file is opened in a newer version of Excel. Learn more: https://go.microsoft.com/fwlink/?linkid=870924
Comment:
    Biometaani tootmine ei põhjusta SO2 heidet:
KOTKAS - AVE v2.11.24 (envir.ee) 
KOTKAS - AVE v2.11.24 (envir.ee) 
KOTKAS - AVE v2.11.24 (envir.ee) 
KOTKAS - AVE v2.11.24 (envir.ee) 
</t>
      </text>
    </comment>
    <comment ref="D13" authorId="37" shapeId="0" xr:uid="{61B99D28-7548-47B3-8DDB-16E47ECEED27}">
      <text>
        <t>[Threaded comment]
Your version of Excel allows you to read this threaded comment; however, any edits to it will get removed if the file is opened in a newer version of Excel. Learn more: https://go.microsoft.com/fwlink/?linkid=870924
Comment:
    Happevihmad on happeid tekitavad sademed. Happevihmad moodustuvad, kui mitmesugused saasteained (SO2, NOx, NH3) lahustuvad vihmavees ning tekitavad happeid.</t>
      </text>
    </comment>
    <comment ref="H13" authorId="38" shapeId="0" xr:uid="{C833B088-5C78-4333-BA6D-EE7F00C96592}">
      <text>
        <t>[Threaded comment]
Your version of Excel allows you to read this threaded comment; however, any edits to it will get removed if the file is opened in a newer version of Excel. Learn more: https://go.microsoft.com/fwlink/?linkid=870924
Comment:
    Andmed energeetikasektori kohta aastal 2020 lähtuvalt "Teatavate õhusaasteainete heitkoguste vähendamise riikliku programmi aastateks 2020-2030 ajakohastamine".</t>
      </text>
    </comment>
    <comment ref="I13" authorId="39" shapeId="0" xr:uid="{EC2784D7-5A7C-4ED3-8F8D-33DCCF3C9E99}">
      <text>
        <t>[Threaded comment]
Your version of Excel allows you to read this threaded comment; however, any edits to it will get removed if the file is opened in a newer version of Excel. Learn more: https://go.microsoft.com/fwlink/?linkid=870924
Comment:
    Arvesse on võetud konkreetse stsenaariumi puhul kasutatavad põletustehnoloogiad ja need pandud võrdelisse seosesse hetkel põletamise heitkogusega.</t>
      </text>
    </comment>
    <comment ref="J13" authorId="40" shapeId="0" xr:uid="{6FECD72D-EA3C-43B5-A4F2-3BE644C82665}">
      <text>
        <t>[Threaded comment]
Your version of Excel allows you to read this threaded comment; however, any edits to it will get removed if the file is opened in a newer version of Excel. Learn more: https://go.microsoft.com/fwlink/?linkid=870924
Comment:
    Arvesse on võetud konkreetse stsenaariumi puhul kasutatavad põletustehnoloogiad ja need pandud võrdelisse seosesse hetkel põletamise heitkogusega.</t>
      </text>
    </comment>
    <comment ref="K13" authorId="41" shapeId="0" xr:uid="{126E9EC7-02DA-40DA-9577-71B2B125E6D2}">
      <text>
        <t>[Threaded comment]
Your version of Excel allows you to read this threaded comment; however, any edits to it will get removed if the file is opened in a newer version of Excel. Learn more: https://go.microsoft.com/fwlink/?linkid=870924
Comment:
    Arvesse on võetud konkreetse stsenaariumi puhul kasutatavad põletustehnoloogiad ja need pandud võrdelisse seosesse hetkel põletamise heitkogusega.</t>
      </text>
    </comment>
    <comment ref="L13" authorId="42" shapeId="0" xr:uid="{2566677E-08A8-4374-8B82-9D86E686EFB3}">
      <text>
        <t>[Threaded comment]
Your version of Excel allows you to read this threaded comment; however, any edits to it will get removed if the file is opened in a newer version of Excel. Learn more: https://go.microsoft.com/fwlink/?linkid=870924
Comment:
    Arvesse on võetud konkreetse stsenaariumi puhul kasutatavad põletustehnoloogiad ja need pandud võrdelisse seosesse hetkel põletamise heitkogusega.</t>
      </text>
    </comment>
    <comment ref="M13" authorId="43" shapeId="0" xr:uid="{0AE48DDE-CE65-4C59-AF7C-7B5158974A92}">
      <text>
        <t>[Threaded comment]
Your version of Excel allows you to read this threaded comment; however, any edits to it will get removed if the file is opened in a newer version of Excel. Learn more: https://go.microsoft.com/fwlink/?linkid=870924
Comment:
    Arvesse on võetud konkreetse stsenaariumi puhul kasutatavad põletustehnoloogiad ja need pandud võrdelisse seosesse hetkel põletamise heitkogusega.</t>
      </text>
    </comment>
    <comment ref="N13" authorId="44" shapeId="0" xr:uid="{4ABEF343-DD98-40FA-A8CC-48C23239F6E2}">
      <text>
        <t>[Threaded comment]
Your version of Excel allows you to read this threaded comment; however, any edits to it will get removed if the file is opened in a newer version of Excel. Learn more: https://go.microsoft.com/fwlink/?linkid=870924
Comment:
    Arvesse on võetud konkreetse stsenaariumi puhul kasutatavad põletustehnoloogiad ja need pandud võrdelisse seosesse hetkel põletamise heitkogusega.</t>
      </text>
    </comment>
    <comment ref="O13" authorId="45" shapeId="0" xr:uid="{CAE352AC-60F0-4BCA-87C3-D42182DC9182}">
      <text>
        <t>[Threaded comment]
Your version of Excel allows you to read this threaded comment; however, any edits to it will get removed if the file is opened in a newer version of Excel. Learn more: https://go.microsoft.com/fwlink/?linkid=870924
Comment:
    Arvesse on võetud konkreetse stsenaariumi puhul kasutatavad põletustehnoloogiad ja need pandud võrdelisse seosesse hetkel põletamise heitkogusega.</t>
      </text>
    </comment>
    <comment ref="V13" authorId="46" shapeId="0" xr:uid="{76D35EAA-04EE-4785-A50A-32FD76A4C40F}">
      <text>
        <t xml:space="preserve">[Threaded comment]
Your version of Excel allows you to read this threaded comment; however, any edits to it will get removed if the file is opened in a newer version of Excel. Learn more: https://go.microsoft.com/fwlink/?linkid=870924
Comment:
    Biometaani tootmine ei põhjusta NOx heidet:
KOTKAS - AVE v2.11.24 (envir.ee) 
KOTKAS - AVE v2.11.24 (envir.ee) 
KOTKAS - AVE v2.11.24 (envir.ee) 
KOTKAS - AVE v2.11.24 (envir.ee) </t>
      </text>
    </comment>
    <comment ref="H14" authorId="47" shapeId="0" xr:uid="{54BCB37D-DF85-4853-A617-2EAAB60375AB}">
      <text>
        <t>[Threaded comment]
Your version of Excel allows you to read this threaded comment; however, any edits to it will get removed if the file is opened in a newer version of Excel. Learn more: https://go.microsoft.com/fwlink/?linkid=870924
Comment:
    Põlevkivijäätmete teke 2020. aastal miljonites tonnides Riigi jäätmekava andmetel (poolkoksi- ja fenoolvesi, lend- ja koldetuhk, aheraine)</t>
      </text>
    </comment>
    <comment ref="I14" authorId="48" shapeId="0" xr:uid="{3F1A58A8-7D85-4D64-B44B-500CE1094086}">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Jäätmeid tekib edaspidi põletamistehnoloogiate kasutamisel (tuhk).
Akude ja radioaktiivsete jäätmete kohta vt KSH  tekstiosa.</t>
      </text>
    </comment>
    <comment ref="J14" authorId="49" shapeId="0" xr:uid="{A2AC5112-F2D4-49B4-8B38-A9B0457E48A7}">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Jäätmeid tekib edaspidi põletamistehnoloogiate kasutamisel (tuhk).
Akude ja radioaktiivsete jäätmete kohta vt KSH  tekstiosa.</t>
      </text>
    </comment>
    <comment ref="K14" authorId="50" shapeId="0" xr:uid="{6F7C3D90-753C-4C08-88B2-330AF1D56E9B}">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Jäätmeid tekib edaspidi põletamistehnoloogiate kasutamisel (tuhk).
Akude ja radioaktiivsete jäätmete kohta vt KSH  tekstiosa.</t>
      </text>
    </comment>
    <comment ref="L14" authorId="51" shapeId="0" xr:uid="{61EA6C48-AEF5-4C98-960C-C2856BAF3941}">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Jäätmeid tekib edaspidi põletamistehnoloogiate kasutamisel (tuhk).
Akude ja radioaktiivsete jäätmete kohta vt KSH  tekstiosa.</t>
      </text>
    </comment>
    <comment ref="M14" authorId="52" shapeId="0" xr:uid="{E2849815-B29F-41F3-9428-527CBEF3BF60}">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Jäätmeid tekib edaspidi põletamistehnoloogiate kasutamisel (tuhk).
Akude ja radioaktiivsete jäätmete kohta vt KSH  tekstiosa.</t>
      </text>
    </comment>
    <comment ref="N14" authorId="53" shapeId="0" xr:uid="{4C33A144-E49C-46C1-9E08-6415CBD5CD5F}">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Jäätmeid tekib edaspidi põletamistehnoloogiate kasutamisel (tuhk).
Akude ja radioaktiivsete jäätmete kohta vt KSH  tekstiosa.</t>
      </text>
    </comment>
    <comment ref="O14" authorId="54" shapeId="0" xr:uid="{0A25BE82-1F6A-4095-86E7-AFE7669022C4}">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Jäätmeid tekib edaspidi põletamistehnoloogiate kasutamisel (tuhk).
Akude ja radioaktiivsete jäätmete kohta vt KSH  tekstiosa.</t>
      </text>
    </comment>
    <comment ref="D18" authorId="55" shapeId="0" xr:uid="{4791917E-762D-4439-A03A-122ED948DAC7}">
      <text>
        <t>[Threaded comment]
Your version of Excel allows you to read this threaded comment; however, any edits to it will get removed if the file is opened in a newer version of Excel. Learn more: https://go.microsoft.com/fwlink/?linkid=870924
Comment:
    Näitaja väljendab keskkonnajuhtimissüsteemide (KKJS) rahvusvahelise standardi ISO 14001:2004 ja selle uuendatud versiooni ISO 14001:2015 järgi sertifitseeritud ning Euroopa Parlamendi ja Nõukogu määruse nr 1221/2009 keskkonnajuhtimis- ja auditeerimissüsteemi (EMAS) kohaselt registreeritud era- või avaliku sektori organisatsioonide arvu.</t>
      </text>
    </comment>
    <comment ref="D19" authorId="56" shapeId="0" xr:uid="{8A93B545-C2AA-4C9D-97FA-8E6B5FE1B140}">
      <text>
        <t>[Threaded comment]
Your version of Excel allows you to read this threaded comment; however, any edits to it will get removed if the file is opened in a newer version of Excel. Learn more: https://go.microsoft.com/fwlink/?linkid=870924
Comment:
    Näitaja väljendab keskkonnajuhtimissüsteemide (KKJS) rahvusvahelise standardi ISO 14001:2004 ja selle uuendatud versiooni ISO 14001:2015 järgi sertifitseeritud ning Euroopa Parlamendi ja Nõukogu määruse nr 1221/2009 keskkonnajuhtimis- ja auditeerimissüsteemi (EMAS) kohaselt registreeritud era- või avaliku sektori organisatsioonide arvu.</t>
      </text>
    </comment>
    <comment ref="D20" authorId="57" shapeId="0" xr:uid="{2F6AA046-406C-480C-9CDF-686C0D412703}">
      <text>
        <t xml:space="preserve">[Threaded comment]
Your version of Excel allows you to read this threaded comment; however, any edits to it will get removed if the file is opened in a newer version of Excel. Learn more: https://go.microsoft.com/fwlink/?linkid=870924
Comment:
    Kasvuhoonegaaside heitkogus SKP-sse (kilogrammi SKP eurosse).
Kasvuhoonegaasidena käsitatakse inimtegevuse tagajärjel vabanenud süsinikdioksiidi (CO2), metaani (CH4), dilämmastikoksiidi (N2O) ja fluoritud kasvuhoonegaase ehk F-gaase: fluorosüsivesinikud (HFC), perfluorosüsivesinikud (PFC), väävelheksafluoriid (SF6) ja lämmastiktrifluoriid (NF3). </t>
      </text>
    </comment>
    <comment ref="D21" authorId="58" shapeId="0" xr:uid="{521E6F65-6161-456F-8571-285DA72F1077}">
      <text>
        <t xml:space="preserve">[Threaded comment]
Your version of Excel allows you to read this threaded comment; however, any edits to it will get removed if the file is opened in a newer version of Excel. Learn more: https://go.microsoft.com/fwlink/?linkid=870924
Comment:
    Kasvuhoonegaaside heitkogus SKP-sse (kilogrammi SKP eurosse).
Kasvuhoonegaasidena käsitatakse inimtegevuse tagajärjel vabanenud süsinikdioksiidi (CO2), metaani (CH4), dilämmastikoksiidi (N2O) ja fluoritud kasvuhoonegaase ehk F-gaase: fluorosüsivesinikud (HFC), perfluorosüsivesinikud (PFC), väävelheksafluoriid (SF6) ja lämmastiktrifluoriid (NF3). </t>
      </text>
    </comment>
    <comment ref="D22" authorId="59" shapeId="0" xr:uid="{380D2B04-0872-4051-AD35-4376D453A47E}">
      <text>
        <t>[Threaded comment]
Your version of Excel allows you to read this threaded comment; however, any edits to it will get removed if the file is opened in a newer version of Excel. Learn more: https://go.microsoft.com/fwlink/?linkid=870924
Comment:
    Läänemere peamiste töönduslike kalaliikide kilu, räime ja tursa Eesti jaoks majanduslikult olulise populatsiooni suurus tonnides, mida saab vaadelda võrrelduna  kudekarja biomassi piirväärtusega (Btrigger).</t>
      </text>
    </comment>
    <comment ref="D23" authorId="60" shapeId="0" xr:uid="{EF2397F3-7470-4730-9EEE-30E3F32FC612}">
      <text>
        <t>[Threaded comment]
Your version of Excel allows you to read this threaded comment; however, any edits to it will get removed if the file is opened in a newer version of Excel. Learn more: https://go.microsoft.com/fwlink/?linkid=870924
Comment:
    Läänemere peamiste töönduslike kalaliikide kilu, räime ja tursa Eesti jaoks majanduslikult olulise populatsiooni suurus tonnides, mida saab vaadelda võrrelduna  kudekarja biomassi piirväärtusega (Btrigger).</t>
      </text>
    </comment>
    <comment ref="D24" authorId="61" shapeId="0" xr:uid="{5BB1A31B-5BCC-4A63-AC25-008921958362}">
      <text>
        <t>[Threaded comment]
Your version of Excel allows you to read this threaded comment; however, any edits to it will get removed if the file is opened in a newer version of Excel. Learn more: https://go.microsoft.com/fwlink/?linkid=870924
Comment:
    Läänemere peamiste töönduslike kalaliikide kilu, räime ja tursa Eesti jaoks majanduslikult olulise populatsiooni suurus tonnides, mida saab vaadelda võrrelduna  kudekarja biomassi piirväärtusega (Btrigger).</t>
      </text>
    </comment>
    <comment ref="D25" authorId="62" shapeId="0" xr:uid="{C7FB081A-78E6-4B09-8ABB-A4EF3D3F5E82}">
      <text>
        <t>[Threaded comment]
Your version of Excel allows you to read this threaded comment; however, any edits to it will get removed if the file is opened in a newer version of Excel. Learn more: https://go.microsoft.com/fwlink/?linkid=870924
Comment:
    Läänemere peamiste töönduslike kalaliikide kilu, räime ja tursa Eesti jaoks majanduslikult olulise populatsiooni suurus tonnides, mida saab vaadelda võrrelduna  kudekarja biomassi piirväärtusega (Btrigger).</t>
      </text>
    </comment>
    <comment ref="D26" authorId="63" shapeId="0" xr:uid="{DD24B848-6D07-441B-9881-62320C84B7EB}">
      <text>
        <t>[Threaded comment]
Your version of Excel allows you to read this threaded comment; however, any edits to it will get removed if the file is opened in a newer version of Excel. Learn more: https://go.microsoft.com/fwlink/?linkid=870924
Comment:
    Läänemere peamiste töönduslike kalaliikide kilu, räime ja tursa Eesti jaoks majanduslikult olulise populatsiooni suurus tonnides, mida saab vaadelda võrrelduna  kudekarja biomassi piirväärtusega (Btrigger).</t>
      </text>
    </comment>
    <comment ref="D27" authorId="64" shapeId="0" xr:uid="{55EC1FD9-7D3C-4A13-BF0A-CF98651C8C75}">
      <text>
        <t>[Threaded comment]
Your version of Excel allows you to read this threaded comment; however, any edits to it will get removed if the file is opened in a newer version of Excel. Learn more: https://go.microsoft.com/fwlink/?linkid=870924
Comment:
    Läänemere peamiste töönduslike kalaliikide kilu, räime ja tursa Eesti jaoks majanduslikult olulise populatsiooni suurus tonnides, mida saab vaadelda võrrelduna  kudekarja biomassi piirväärtusega (Btrigger).</t>
      </text>
    </comment>
    <comment ref="D28" authorId="65" shapeId="0" xr:uid="{034DD52B-3613-4BA9-8466-1DCC3E0E545B}">
      <text>
        <t xml:space="preserve">[Threaded comment]
Your version of Excel allows you to read this threaded comment; however, any edits to it will get removed if the file is opened in a newer version of Excel. Learn more: https://go.microsoft.com/fwlink/?linkid=870924
Comment:
    Eesti maismaalt Läänemerre jõudev üldfosfori ja -lämmastiku kogus. Ühendid pärinevad Läänemerre suubuvatest seiratud jõgedest, seiramata aladelt, piiriülestest jõgedest ja otse Läänemerre suubuvatest punktallikatest. </t>
      </text>
    </comment>
    <comment ref="D29" authorId="66" shapeId="0" xr:uid="{92653DB4-6FD6-40E2-BDA2-C440224987C0}">
      <text>
        <t xml:space="preserve">[Threaded comment]
Your version of Excel allows you to read this threaded comment; however, any edits to it will get removed if the file is opened in a newer version of Excel. Learn more: https://go.microsoft.com/fwlink/?linkid=870924
Comment:
    Eesti maismaalt Läänemerre jõudev üldfosfori ja -lämmastiku kogus. Ühendid pärinevad Läänemerre suubuvatest seiratud jõgedest, seiramata aladelt, piiriülestest jõgedest ja otse Läänemerre suubuvatest punktallikatest. </t>
      </text>
    </comment>
    <comment ref="D31" authorId="67" shapeId="0" xr:uid="{AF83D4A0-FF67-4C17-B7AD-F444B0612C73}">
      <text>
        <t>[Threaded comment]
Your version of Excel allows you to read this threaded comment; however, any edits to it will get removed if the file is opened in a newer version of Excel. Learn more: https://go.microsoft.com/fwlink/?linkid=870924
Comment:
    Läänemere peamiste töönduslike kalaliikide kilu, räime ja tursa Eesti jaoks majanduslikult olulise populatsiooni suurus tonnides, mida saab vaadelda võrrelduna  kudekarja biomassi piirväärtusega (Btrigger).</t>
      </text>
    </comment>
    <comment ref="D32" authorId="68" shapeId="0" xr:uid="{783F2C91-2910-4BBF-968F-16B76D6BB650}">
      <text>
        <t>[Threaded comment]
Your version of Excel allows you to read this threaded comment; however, any edits to it will get removed if the file is opened in a newer version of Excel. Learn more: https://go.microsoft.com/fwlink/?linkid=870924
Comment:
    Läänemere peamiste töönduslike kalaliikide kilu, räime ja tursa Eesti jaoks majanduslikult olulise populatsiooni suurus tonnides, mida saab vaadelda võrrelduna  kudekarja biomassi piirväärtusega (Btrigger).</t>
      </text>
    </comment>
    <comment ref="H33" authorId="69" shapeId="0" xr:uid="{54CD79EA-399F-4BE5-9E01-035EEFD673E2}">
      <text>
        <t>[Threaded comment]
Your version of Excel allows you to read this threaded comment; however, any edits to it will get removed if the file is opened in a newer version of Excel. Learn more: https://go.microsoft.com/fwlink/?linkid=870924
Comment:
    Põlevkivist toodetud elektrienergia tagajärjel tekkinud jäätmete ligikaudne kogus.
Põlevkivijäätmete teke 2020 oli 11180000 tonni. Allikas: Riigi jäätmekava 2023-2028.
Statistikaameti andmebaasi KE062 järgi u 50% tarbitud põlevkivist kulus 2020. aastal elektrienergia tootmiseks. Selletõttu on jäätmete kogusest võetud 50%.</t>
      </text>
    </comment>
    <comment ref="I33" authorId="70" shapeId="0" xr:uid="{0C32C7BC-8D53-415C-AEF2-0034F0E4761B}">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Akude elueaks on arvestatud 10 aastat mistõttu ühe akupargi jäätmed on jaotatud kümne aasta peale. 1MW akude kaal on 20 tonni (vt KSH aruande jäätmete peatükki).
Vastavalt tuumaenergeetika rühma löpparuandele (https://kliimaministeerium.ee/media/12062/download) tekib 900MW tuumajaamast 35 t kasutatud kütust aastas.</t>
      </text>
    </comment>
    <comment ref="J33" authorId="71" shapeId="0" xr:uid="{91050EF3-5F73-4574-824E-6C908C1A84E2}">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tuumajaamast ühe MW kohta 0,039 t kasutatud kütust aastas.</t>
      </text>
    </comment>
    <comment ref="K33" authorId="72" shapeId="0" xr:uid="{87DFC843-230B-4CC4-86EF-9893BC4AA78C}">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900MW tuumajaamast 35 t kasutatud kütust.</t>
      </text>
    </comment>
    <comment ref="L33" authorId="73" shapeId="0" xr:uid="{70F3ED56-B460-4429-9F4A-569512005F06}">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900MW tuumajaamast 35 t kasutatud kütust.</t>
      </text>
    </comment>
    <comment ref="M33" authorId="74" shapeId="0" xr:uid="{4405B4F1-808E-4D0C-A439-B5BB56EC44ED}">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900MW tuumajaamast 35 t kasutatud kütust.</t>
      </text>
    </comment>
    <comment ref="N33" authorId="75" shapeId="0" xr:uid="{A55D39F6-AF70-4477-8EFB-2103C623F5C7}">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900MW tuumajaamast 35 t kasutatud kütust.</t>
      </text>
    </comment>
    <comment ref="O33" authorId="76" shapeId="0" xr:uid="{ACCBBEF2-4867-47B0-BD2F-2039AB17D2E1}">
      <text>
        <t>[Threaded comment]
Your version of Excel allows you to read this threaded comment; however, any edits to it will get removed if the file is opened in a newer version of Excel. Learn more: https://go.microsoft.com/fwlink/?linkid=870924
Comment:
    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900MW tuumajaamast 35 t kasutatud kütust.</t>
      </text>
    </comment>
    <comment ref="D35" authorId="77" shapeId="0" xr:uid="{DA55D22A-59E1-4D93-A3D3-A61E8197FA94}">
      <text>
        <t>[Threaded comment]
Your version of Excel allows you to read this threaded comment; however, any edits to it will get removed if the file is opened in a newer version of Excel. Learn more: https://go.microsoft.com/fwlink/?linkid=870924
Comment:
    Peenosakesed välisõhus põhjustavad hingamisteede ning südame ja veresoonkonna haigusi ning vähendavad keskmist oodatavat eluiga.
Peenosakesed on alla 10-mikromeetrise (PM10) diameetriga eri koostisega väga väikeste tahkete osakeste ja piiskade segu. Eriti peened osakesed  on peenosakeste fraktsioon, mille diameeter jääb alla 2,5 mikromeetri (PM2,5).</t>
      </text>
    </comment>
    <comment ref="H35" authorId="78" shapeId="0" xr:uid="{A961444A-EF44-48D4-8899-2173267AB806}">
      <text>
        <t>[Threaded comment]
Your version of Excel allows you to read this threaded comment; however, any edits to it will get removed if the file is opened in a newer version of Excel. Learn more: https://go.microsoft.com/fwlink/?linkid=870924
Comment:
    Arvestatud on põlevkivist elektri tootmisega kaasnevat PM10 heidet kolmest elektrijaamast keskkonnalubade põhjal. Tonnides</t>
      </text>
    </comment>
    <comment ref="D37" authorId="79" shapeId="0" xr:uid="{4A48BAE2-B968-4336-9F89-FCE809110287}">
      <text>
        <t>[Threaded comment]
Your version of Excel allows you to read this threaded comment; however, any edits to it will get removed if the file is opened in a newer version of Excel. Learn more: https://go.microsoft.com/fwlink/?linkid=870924
Comment:
    Peenosakesed välisõhus põhjustavad hingamisteede ning südame ja veresoonkonna haigusi ning vähendavad keskmist oodatavat eluiga.
Peenosakesed on alla 10-mikromeetrise (PM10) diameetriga eri koostisega väga väikeste tahkete osakeste ja piiskade segu. Eriti peened osakesed  on peenosakeste fraktsioon, mille diameeter jääb alla 2,5 mikromeetri (PM2,5).</t>
      </text>
    </comment>
    <comment ref="H37" authorId="80" shapeId="0" xr:uid="{DF50DB06-7A14-4CF9-8A60-21A192E8303E}">
      <text>
        <t>[Threaded comment]
Your version of Excel allows you to read this threaded comment; however, any edits to it will get removed if the file is opened in a newer version of Excel. Learn more: https://go.microsoft.com/fwlink/?linkid=870924
Comment:
    Arvestatud on põlevkivist elektri tootmisega kaasnevat PM2,5 heidet kolmest elektrijaamast keskkonnalubade põhjal. Tonnides</t>
      </text>
    </comment>
    <comment ref="I37" authorId="81" shapeId="0" xr:uid="{2C0CE682-C192-43A7-888D-CE0F0C40099D}">
      <text>
        <t>[Threaded comment]
Your version of Excel allows you to read this threaded comment; however, any edits to it will get removed if the file is opened in a newer version of Excel. Learn more: https://go.microsoft.com/fwlink/?linkid=870924
Comment:
    Hinnangu andmisel on võetud aluseks olemasoleva põlevkivi kasutamisega kaasneva peenosakeste tekkekogus 1MW kohta, välja arvutatud keskkonnalubade alusel. Tonnides</t>
      </text>
    </comment>
    <comment ref="H39" authorId="82" shapeId="0" xr:uid="{98357E3A-3405-4093-A0F6-160F5AEC8A01}">
      <text>
        <t>[Threaded comment]
Your version of Excel allows you to read this threaded comment; however, any edits to it will get removed if the file is opened in a newer version of Excel. Learn more: https://go.microsoft.com/fwlink/?linkid=870924
Comment:
    Statistikaamet KE033
Elektrienergia tootmiseks tarbitud põlevkivi aastal 2020 tonnides.</t>
      </text>
    </comment>
    <comment ref="Q39" authorId="83" shapeId="0" xr:uid="{787AC68C-7DAE-492B-81EA-CB1EE84C388A}">
      <text>
        <t>[Threaded comment]
Your version of Excel allows you to read this threaded comment; however, any edits to it will get removed if the file is opened in a newer version of Excel. Learn more: https://go.microsoft.com/fwlink/?linkid=870924
Comment:
    Statistikaamet KE033
2020. aastal soojuse tootmiseks tarbitud põlevkivi kogus tuhat tonni</t>
      </text>
    </comment>
    <comment ref="R39" authorId="84" shapeId="0" xr:uid="{DD82CF20-A160-4DCF-87ED-05E16BA5A80F}">
      <text>
        <t>[Threaded comment]
Your version of Excel allows you to read this threaded comment; however, any edits to it will get removed if the file is opened in a newer version of Excel. Learn more: https://go.microsoft.com/fwlink/?linkid=870924
Comment:
    Kasutusel on vaid roheelekter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tc={091065BA-5425-401E-8DF3-3BA80D18204A}</author>
    <author>tc={3D20169E-815B-4A5E-B23A-25A13B92D39F}</author>
    <author>tc={FAC2F3BD-0BA5-4EC2-8BEC-EB5CAE537C2F}</author>
    <author>tc={79633E5E-98DD-461A-94A3-643EEC48649D}</author>
  </authors>
  <commentList>
    <comment ref="D1" authorId="0" shapeId="0" xr:uid="{091065BA-5425-401E-8DF3-3BA80D18204A}">
      <text>
        <t xml:space="preserve">[Threaded comment]
Your version of Excel allows you to read this threaded comment; however, any edits to it will get removed if the file is opened in a newer version of Excel. Learn more: https://go.microsoft.com/fwlink/?linkid=870924
Comment:
    https://energiatalgud.ee/sites/default/files/2022-10/Estonia%20action%20plan%20D7%20-%20Figures%20and%20data.xlsx </t>
      </text>
    </comment>
    <comment ref="A25" authorId="1" shapeId="0" xr:uid="{3D20169E-815B-4A5E-B23A-25A13B92D39F}">
      <text>
        <t xml:space="preserve">[Threaded comment]
Your version of Excel allows you to read this threaded comment; however, any edits to it will get removed if the file is opened in a newer version of Excel. Learn more: https://go.microsoft.com/fwlink/?linkid=870924
Comment:
    Demand Side Management (DSM) on strateegia, mida elektrienergiaettevõtted kasutavad elektritarbimise kontrollimiseks, innustades kliente muutma oma energiatarbimise mustreid tipptundidel või vähendama üldist energiatarbimist. </t>
      </text>
    </comment>
    <comment ref="C39" authorId="2" shapeId="0" xr:uid="{FAC2F3BD-0BA5-4EC2-8BEC-EB5CAE537C2F}">
      <text>
        <t>[Threaded comment]
Your version of Excel allows you to read this threaded comment; however, any edits to it will get removed if the file is opened in a newer version of Excel. Learn more: https://go.microsoft.com/fwlink/?linkid=870924
Comment:
    Andmed energeetikasektori kohta aastal 2020 lähtuvalt "Teatavate õhusaasteainete heitkoguste vähendamise riikliku programmi aastateks 2020-2030 ajakohastamine".</t>
      </text>
    </comment>
    <comment ref="C40" authorId="3" shapeId="0" xr:uid="{79633E5E-98DD-461A-94A3-643EEC48649D}">
      <text>
        <t>[Threaded comment]
Your version of Excel allows you to read this threaded comment; however, any edits to it will get removed if the file is opened in a newer version of Excel. Learn more: https://go.microsoft.com/fwlink/?linkid=870924
Comment:
    Andmed energeetikasektori kohta aastal 2020 lähtuvalt "Teatavate õhusaasteainete heitkoguste vähendamise riikliku programmi aastateks 2020-2030 ajakohastamine".</t>
      </text>
    </comment>
  </commentList>
</comments>
</file>

<file path=xl/sharedStrings.xml><?xml version="1.0" encoding="utf-8"?>
<sst xmlns="http://schemas.openxmlformats.org/spreadsheetml/2006/main" count="1198" uniqueCount="506">
  <si>
    <t>Eesti 2035</t>
  </si>
  <si>
    <t>Eesti säästev areng</t>
  </si>
  <si>
    <t>2022: 10 koht</t>
  </si>
  <si>
    <t>eesmärk ≤10</t>
  </si>
  <si>
    <t>Elamute ja mitteelamute energiatarve</t>
  </si>
  <si>
    <t>Energiatarbimine elamutes, äri- ja avaliku teeninduse sektori hoonetes.</t>
  </si>
  <si>
    <t>2021: 17,1 teravatt-tundi</t>
  </si>
  <si>
    <t>eesmärk 2035: 14,5</t>
  </si>
  <si>
    <t>ENMAK eesmärk olemas</t>
  </si>
  <si>
    <t>Säästva arengu riiklik strateegia</t>
  </si>
  <si>
    <t>Happevihmad</t>
  </si>
  <si>
    <t>Happevihmasid põhjustavate gaaside heide
Inimtegevuse tagajärjel õhku paisatud vääveldioksiidi (SO2), lämmastikoksiidide (NOx) ja ammoniaagi (NH3) heitkogus väljendatuna hapestumise ekvivalenttonnides.</t>
  </si>
  <si>
    <t>2020: 1,4 tuhat tonni hapestumise ekvivalenti</t>
  </si>
  <si>
    <t>eesmärk: ↓</t>
  </si>
  <si>
    <t>Vääveldioksiidi (SO2) heitkogus</t>
  </si>
  <si>
    <t>2020: 11,2 tuhat tonni</t>
  </si>
  <si>
    <t>SO2 heitkoguse muutus</t>
  </si>
  <si>
    <t>Lämmastikoksiidide (NOx) heitkogus</t>
  </si>
  <si>
    <t>2019: 25,2 tonni</t>
  </si>
  <si>
    <t>NOx heitkoguse muutus</t>
  </si>
  <si>
    <t>Ammoniaagi (NH3) heitkogus</t>
  </si>
  <si>
    <t>2019: 22,7 tonni</t>
  </si>
  <si>
    <t>Jäätmeteke</t>
  </si>
  <si>
    <t>Aasta jooksul tekkinud nii tava- kui ka ohtlikud jäätmed ja jäätmekäitlusettevõtetes tekkinud sekundaarsed jäätmed.</t>
  </si>
  <si>
    <t>2021: 19 362,19 tuhat tonni</t>
  </si>
  <si>
    <t>↓</t>
  </si>
  <si>
    <t>Tehnoloogiate eluiga, pärast mida muutuvad komponendid jäätmeks.
Roheelekter on materjalimahukas (tuulikud, päikesepaneelid, akud). Nendel on kindel eluiga.</t>
  </si>
  <si>
    <t>Kaitstavad alad</t>
  </si>
  <si>
    <t>Protsent näitab, kui suure osa kogu maismaaterritooriumist moodustavad kaitstavad alad. 
Kaitstav loodusobjekt – looduskaitse seaduse alusel kaitstav ala või üksikobjekt, kus inimtegevus on piiratud või keelatud (loodusreservaadid). 
Kaitstavad loodusobjektid – kaitsealad (rahvuspargid, looduskaitsealad, maastikukaitsealad ja selle erivormid arboreetumid, pargid ja puistud), hoiualad, püsielupaigad, kaitstavad looduse üksikobjektid koos kaitsetsoonidega ja kohaliku omavalitsuse tasandil kaitstavad loodusobjektid.</t>
  </si>
  <si>
    <t>2021: 19,5%</t>
  </si>
  <si>
    <t>eesmärk: ↑</t>
  </si>
  <si>
    <t>Kaitstavad merealad</t>
  </si>
  <si>
    <t>2021: 18,7%</t>
  </si>
  <si>
    <t>Kasvuhoonegaasid transpordisektoris</t>
  </si>
  <si>
    <t xml:space="preserve">Väljendab transpordisektoris kütuste põletamisel tekkinud kasvuhoonegaaside heitkogust CO2 ekvivalenttonnides. Transpordisektor hõlmab Eesti-sisest maantee-, raudtee, vee- ja lennutransporti. Rahvusvahelistes vetes sõitvate laevade ja rahvusvahelistel lennuliinidel lendavate lennukite heidet ei arvestata. </t>
  </si>
  <si>
    <t>2020: 2 232,54 tuhat tonni CO2 ekvivalendi kohta</t>
  </si>
  <si>
    <t>ENMAK eesmärk 0 heide olemas</t>
  </si>
  <si>
    <t>Kasvuhoonegaaside heitkogused</t>
  </si>
  <si>
    <t>Kasvuhoonegaaside heitkogus SKP euro kohta</t>
  </si>
  <si>
    <t>2020: 0,48 kilogrammi</t>
  </si>
  <si>
    <t>Kasvuhoonegaaside heitkogus inimese kohta</t>
  </si>
  <si>
    <t>2020: 8,69 tonni</t>
  </si>
  <si>
    <t>Kasvuhoonegaaside netoheitkogus</t>
  </si>
  <si>
    <t>2020: 12,85 miljonit tonni CO2 ekvivalenti</t>
  </si>
  <si>
    <t>eesmärk 2035: 8</t>
  </si>
  <si>
    <t>Keskkonnajuhtimissüsteemide rakendamine</t>
  </si>
  <si>
    <t>EMAS-i keskkonnajuhtimissüsteemi rakendajad</t>
  </si>
  <si>
    <t xml:space="preserve">
2022: 17 organisatsiooni
</t>
  </si>
  <si>
    <t>↑</t>
  </si>
  <si>
    <t>ISO keskkonnajuhtimissüsteemi rakendajad</t>
  </si>
  <si>
    <t xml:space="preserve">
2022: 651 organisatsiooni</t>
  </si>
  <si>
    <t>Keskkonnatrendide indeks</t>
  </si>
  <si>
    <t>Indeks näitab paranevate keskkonnatrendide osatähtsust Eesti säästva arengu keskkonnavaldkonna näitajates. Kokku hinnatakse 36 näitaja trende võrdluses baasaastaga (2000 või esimene võimalik aasta).</t>
  </si>
  <si>
    <t>2021: 75</t>
  </si>
  <si>
    <t>eesmärk 2035: 87</t>
  </si>
  <si>
    <t>Kudekarja biomass</t>
  </si>
  <si>
    <t>Liivi lahe räime kudekarja biomass
Läänemere tööndusliku kalaliigi Liivi lahe räime Eesti jaoks majanduslikult olulise populatsiooni suurus tonnides.</t>
  </si>
  <si>
    <t xml:space="preserve"> 
2021: 165 395 tonni</t>
  </si>
  <si>
    <t xml:space="preserve">Läänemere avaosa räime kudekarja biomass
Läänemere tööndusliku kalaliigi avaosa räime Eesti jaoks majanduslikult olulise populatsiooni suurus tonnides. </t>
  </si>
  <si>
    <t>2021: 387 052 tonni</t>
  </si>
  <si>
    <t xml:space="preserve">Läänemere kilu kudekarja biomass
Läänemere tööndusliku kalaliigi kilu Eesti jaoks majanduslikult olulise populatsiooni suurus tonnides. </t>
  </si>
  <si>
    <t xml:space="preserve">
2021: 939 000 tonni
</t>
  </si>
  <si>
    <t xml:space="preserve">Läänemere lääneosa tursa kudekarja biomass
Läänemere tööndusliku kalaliigi lääneosa tursa Eesti jaoks majanduslikult olulise populatsiooni suurus tonnides. </t>
  </si>
  <si>
    <t>2021: 5 303 tonni</t>
  </si>
  <si>
    <t xml:space="preserve">Liivi lahe räime kudekarja biomassi piirväärtus
Kudekarja biomassi piirväärtus tonnides tähistab taset, millest madalama väärtuse korral tuleb rakendada majandamise erimeetmeid. </t>
  </si>
  <si>
    <t>2021: 60 000 tonni</t>
  </si>
  <si>
    <t xml:space="preserve">Läänemere avaosa räime kudekarja biomassi piirväärtus
Kudekarja biomassi piirväärtus tonnides tähistab taset, millest madalama väärtuse korral tuleb rakendada majandamise erimeetmeid. </t>
  </si>
  <si>
    <t xml:space="preserve">
2021: 460 000 tonni
</t>
  </si>
  <si>
    <t xml:space="preserve">Läänemere kilu kudekarja biomassi piirväärtus
Kudekarja biomassi piirväärtus tonnides tähistab taset, millest madalama väärtuse korral tuleb rakendada majandamise erimeetmeid. </t>
  </si>
  <si>
    <t xml:space="preserve">
2021: 570 000 tonni</t>
  </si>
  <si>
    <t xml:space="preserve">Läänemere lääneosa tursa kudekarja biomassi piirväärtus
Kudekarja biomassi piirväärtus tonnides tähistab taset, millest madalama väärtuse korral tuleb rakendada majandamise erimeetmeid. </t>
  </si>
  <si>
    <t xml:space="preserve">2021: 23 492 tonni
</t>
  </si>
  <si>
    <t>Läänemere seisund</t>
  </si>
  <si>
    <t>Üldfosfori koormus merre
Eesti maismaalt Läänemerre jõudev üldfosfori kogus tonnides.</t>
  </si>
  <si>
    <t>2021: 0,4 tuhat tonni</t>
  </si>
  <si>
    <t>Üldlämmastiku koormus merre
Eesti maismaalt Läänemerre jõudev üldlämmastiku kogus tonnides.</t>
  </si>
  <si>
    <t xml:space="preserve">
2021: 23,8 tuhat tonni
</t>
  </si>
  <si>
    <t>Nõuetekohaselt puhastatud reovesi</t>
  </si>
  <si>
    <t xml:space="preserve">Nõuetekohaselt puhastatud reovee kogus miljonites kuupmeetrites. 
Reovesi – üle kahjutuspiiri rikutud vesi, mida on vaja enne suublasse juhtimist puhastada. </t>
  </si>
  <si>
    <t>2021: 90,86 miljonit kuupmeetrit</t>
  </si>
  <si>
    <t>Ohtlike jäätmete teke</t>
  </si>
  <si>
    <t>Jäätmed, mis kahjuliku toime tõttu võivad olla ohtlikud tervisele, varale või keskkonnale. 
2020. aasta väärtus ei ole varasemate aastatega võrreldav jäätmenimistu 01.01.2020 muutuse tõttu.</t>
  </si>
  <si>
    <t>2021: 1 592,4 tuhat tonni</t>
  </si>
  <si>
    <t>Olmejäätmete ringlussevõtt</t>
  </si>
  <si>
    <t xml:space="preserve">Protsent näitab ringlusse võetud olmejäätmete osa tekkinud olmejäätmetes. Ringlussevõtt sisaldab materjali uuesti kasutuselevõttu, jäätmete komposteerimist ning anaeroobset lagundamist. Jäätmete põletamist energia tootmiseks ei ole arvestatud. Olmejäätmed – kodumajapidamises tekkinud jäätmed ja kaubanduses, teeninduses või mujal tekkinud koostiselt ning omadustelt sarnased jäätmed. </t>
  </si>
  <si>
    <t>2021: 30,4%</t>
  </si>
  <si>
    <t>EL keskmine 2020: 47,8</t>
  </si>
  <si>
    <t>Peenosakeste heide</t>
  </si>
  <si>
    <t>(PM10)
alla 10-mikromeetrise (PM10) diameetriga eri koostisega väga väikeste tahkete osakeste ja piiskade segu. Peenosakesed pärinevad eeskätt pinnasest, teekattest ja tööstusettevõtetest. Peenosakesed välisõhus põhjustavad hingamisteede ning südame ja veresoonkonna haigusi ning vähendavad keskmist oodatavat eluiga.</t>
  </si>
  <si>
    <t xml:space="preserve">
2020: 8,9 tuhat tonni</t>
  </si>
  <si>
    <t>Eriti peenete osakeste heide (PM2,5)
Alla 2,5-mikromeetrise (PM2,5) diameetriga eri koostisega väga väikeste tahkete osakeste ja piiskade segu atmosfääris. Eriti peenete osakeste peamised allikad on sõidukite heitgaasid, põlemine ja keemilisedreaktsioonid atmosfääris. Peenosakesed välisõhus põhjustavad hingamisteede ning südame ja veresoonkonna haigusi ning vähendavad keskmist oodatavat eluiga.</t>
  </si>
  <si>
    <t xml:space="preserve">
2020: 5,9 tuhat tonni
</t>
  </si>
  <si>
    <t>Pinnavee seisund</t>
  </si>
  <si>
    <t xml:space="preserve">Protsent näitab, kui suur on vähemalt heas seisundis pinnaveekogumite osa kõigis pinnaveekogumites. Pinnaveekogumite seisundit hinnatakse ökoloogilise ja keemilise seisundi järgi. </t>
  </si>
  <si>
    <t>2021: 52%</t>
  </si>
  <si>
    <t>Põhjaveevõtt</t>
  </si>
  <si>
    <t xml:space="preserve">Aasta jooksul ammutatud põhjavee hulk miljonites kuupmeetrites. </t>
  </si>
  <si>
    <t>2021: 232,8 miljonit kuupmeetrit</t>
  </si>
  <si>
    <t>Põlevkivi kaevandamine</t>
  </si>
  <si>
    <t xml:space="preserve">Aasta jooksul kaevandatud põlevkivi kogus. </t>
  </si>
  <si>
    <t>2021: 9 208,8 tuhat tonni</t>
  </si>
  <si>
    <t>Rangelt kaitstavad metsamaad</t>
  </si>
  <si>
    <t xml:space="preserve">Protsent näitab, kui palju on rangelt kaitstavat metsamaad kogu metsamaa hulgas. Range kaitse alla kuuluvad loodusreservaadid, looduslikud ja hooldatavad sihtkaitsevööndid, püsielupaiga sihtkaitsevööndid, esimese kaitsekategooria kaitstavate liikide elupaigad, vääriselupaigad (VEP) ja kavandatavad kaitsealad planeeritud režiimi järgi. </t>
  </si>
  <si>
    <t>2021: 17,6%</t>
  </si>
  <si>
    <t>Ringleva materjali määr</t>
  </si>
  <si>
    <t>Näitab ringselt kasutatud materjali osatähtsust kogu materjalikasutuses.</t>
  </si>
  <si>
    <t>2021: 15,1%</t>
  </si>
  <si>
    <t>Rohealad linnades</t>
  </si>
  <si>
    <t xml:space="preserve">Protsent näitab, kui paljudel inimestel on tiheasustusega aladel väga hea ligipääs avalikele rohealadele. Avalikud rohealad on rohumaad, metsad, rabad ja muud rohealad (kalmistud, pargid, põõsastikud), mis ei ole eraomandis ja mille pindala on vähemalt 0,5 ha. </t>
  </si>
  <si>
    <t>2021: 85%</t>
  </si>
  <si>
    <t>kõikide maismaatehnoloogiate poolt hõlmatav pindala ha
Ilmselt ei ole teada, kas tulevad ka tiheasustusaladele ja sinna tuleku tõenäosus on väike. Mõju hindamise käigus tõstetakse esile, et tiheasustusaladel rohealadele uusi võimsusi mitte rajada.</t>
  </si>
  <si>
    <t>Soodsas seisundis elupaigatüübid</t>
  </si>
  <si>
    <t>Protsent näitab, kui suur osa Eestis leiduvatest Euroopa Liidu tähtsusega elupaigatüüpidest on soodsas looduskaitselises seisundis.</t>
  </si>
  <si>
    <t>2022: 57%</t>
  </si>
  <si>
    <t>Soodsas seisundis liigid</t>
  </si>
  <si>
    <t>Protsent näitab, kui suur osa Eestis leiduvatest Euroopa Liidu tähtsusega liikidest on soodsas seisundis.</t>
  </si>
  <si>
    <t>2022: 56%</t>
  </si>
  <si>
    <t>Transpordisektori kasvuhoonegaaside heide</t>
  </si>
  <si>
    <t>Transpordisektoris kütuste põletamisel tekkinud kasvuhoonegaaside heitkogus CO2 ekvivalenttonnides. Transpordisektor hõlmab Eesti-sisest maantee-, raudtee-, vee- ja õhutransporti. Rahvusvahelistes vetes sõitvate laevade ja rahvusvahelistel lennuliinidel lendavate lennukite heidet ei arvestata.</t>
  </si>
  <si>
    <t>2020: 2 232,54 tuhat tonni CO2 ekvivalenti</t>
  </si>
  <si>
    <t>eesmärk 2035: 1700</t>
  </si>
  <si>
    <t>ELEKTER</t>
  </si>
  <si>
    <t>SOOJUS JA JAHUTUS</t>
  </si>
  <si>
    <t>eesmärk 2035: 30
EL 2021: 11,7</t>
  </si>
  <si>
    <t>Eesti 2035
Säästva arengu riiklik strateegia</t>
  </si>
  <si>
    <t>kliimaneutraalne elekter</t>
  </si>
  <si>
    <t>maismaa tuul</t>
  </si>
  <si>
    <t>avamere tuul</t>
  </si>
  <si>
    <t>päike</t>
  </si>
  <si>
    <t>akud</t>
  </si>
  <si>
    <t>muud</t>
  </si>
  <si>
    <t>biomass</t>
  </si>
  <si>
    <t>fossiilne gaas</t>
  </si>
  <si>
    <t>hüdro</t>
  </si>
  <si>
    <t>põlevkivi (biomass)</t>
  </si>
  <si>
    <t>teised taasuvad allikad</t>
  </si>
  <si>
    <t>jäätmed</t>
  </si>
  <si>
    <t>tuuma</t>
  </si>
  <si>
    <t>pumphüdro</t>
  </si>
  <si>
    <t>küte ja jahutus</t>
  </si>
  <si>
    <t>soojuspumbad õhk-õhk</t>
  </si>
  <si>
    <t>maaküte</t>
  </si>
  <si>
    <t>biogaasi katlad</t>
  </si>
  <si>
    <t>puiduhakke katlad</t>
  </si>
  <si>
    <t>elektriküte</t>
  </si>
  <si>
    <t>vesinikküte</t>
  </si>
  <si>
    <t>põlevkiviõli küte</t>
  </si>
  <si>
    <t>päikeseküte</t>
  </si>
  <si>
    <t>gaasi dekarboniseerimine</t>
  </si>
  <si>
    <t>veeldatud maagaasi terminal</t>
  </si>
  <si>
    <t>põllumajandusjäätmete kääritamine</t>
  </si>
  <si>
    <t>biojäätmete kääritamine</t>
  </si>
  <si>
    <t>reovee kääritamine</t>
  </si>
  <si>
    <t>energiasääst</t>
  </si>
  <si>
    <t>tarbimise juhtimine</t>
  </si>
  <si>
    <t>hoonete soojustamine</t>
  </si>
  <si>
    <t>energiasäästlikum tootmine</t>
  </si>
  <si>
    <t>ühistranspordi osakaalu tõstmine</t>
  </si>
  <si>
    <t>energiasäästlikud sõidukid</t>
  </si>
  <si>
    <t>raudtee elektrifitseerimine</t>
  </si>
  <si>
    <t>Näitab Eesti kohta üleilmses säästva arengu eesmärkide indeksis. Taastuvenergia osatähtsus energia lõpptarbimises.</t>
  </si>
  <si>
    <t>Sõltub teiste riikide tegutsemiskiirusest ja tõhususest. Ei hinnata kuna positsioon edetabelis ei ole otseses seoses mõjuga Eesti looduskeskkonnale.</t>
  </si>
  <si>
    <t>gaasi-, vesiniku- ja elektrikütuste tankimise taristu laiendamine</t>
  </si>
  <si>
    <t>REA NR</t>
  </si>
  <si>
    <t>MÕÕDIKU SELGITUS</t>
  </si>
  <si>
    <t>MÕÕDIK</t>
  </si>
  <si>
    <t>MÕÕDIKU ALLIKAS</t>
  </si>
  <si>
    <t>MÕÕDIKU EESMÄRK</t>
  </si>
  <si>
    <t>Näitab kasvuhoonegaaside summaarset netoheitkogust, arvestades metsa- ja maakasutussektori mõju. Kasvuhoonegaasid on inimtegevuse tagajärjel vabanenud süsinikdioksiid (CO2), metaan (CH4), dilämmastikoksiid (N2O) ja fluoritud kasvuhoonegaasid ehk F-gaasid, milleks on fluorosüsivesinikud (HFC), perfluorosüsivesinikud (PFC), väävelheksafluoriid (SF6) ja lämmastiktrifluoriid (NF3).</t>
  </si>
  <si>
    <t>MÕÕDIKU ALGVÄÄRTUS</t>
  </si>
  <si>
    <t xml:space="preserve">Protsent näitab, kui suur on merekaitsealade osakaal kogu Eesti merealas. Näitaja arvutamisel on Eesti merealast arvesse võetud looduskaitseseaduse paragrahvis 4 nimetatud loodusobjektid, millel on pindala: kaitsealad, hoiualad, püsielupaigad ja kaitstavate looduse üksikobjektide kaitsetsoonid. </t>
  </si>
  <si>
    <t>CAS nr</t>
  </si>
  <si>
    <t>Nimetus</t>
  </si>
  <si>
    <t>Heitkogus</t>
  </si>
  <si>
    <t>Perioodi algus</t>
  </si>
  <si>
    <t>Perioodi lõpp</t>
  </si>
  <si>
    <t>Lubatud heitkogus</t>
  </si>
  <si>
    <t>Aastas</t>
  </si>
  <si>
    <t>Mõõtühik</t>
  </si>
  <si>
    <t>PM-sum</t>
  </si>
  <si>
    <t>Tahked osakesed, summaarsed</t>
  </si>
  <si>
    <t>t</t>
  </si>
  <si>
    <t>PM10</t>
  </si>
  <si>
    <t>Peened osakesed (PM10)</t>
  </si>
  <si>
    <t>PM2,5</t>
  </si>
  <si>
    <t>Eriti peened osakesed (PM2,5)</t>
  </si>
  <si>
    <t>Vääveldioksiid</t>
  </si>
  <si>
    <t>10102-44-0</t>
  </si>
  <si>
    <t>Lämmastikdioksiid</t>
  </si>
  <si>
    <t>630-08-0</t>
  </si>
  <si>
    <t>Süsinikmonooksiid</t>
  </si>
  <si>
    <t>7647-01-0</t>
  </si>
  <si>
    <t>Vesinikkloriid</t>
  </si>
  <si>
    <t>7664-41-7</t>
  </si>
  <si>
    <t>Ammoniaak</t>
  </si>
  <si>
    <t>NMVOC</t>
  </si>
  <si>
    <t>Mittemetaansed lenduvad orgaanilised ühendid</t>
  </si>
  <si>
    <t>7439-97-6</t>
  </si>
  <si>
    <t>Elavhõbe ja ühendid, ümberarvutatana elavhõbedaks</t>
  </si>
  <si>
    <t>kg</t>
  </si>
  <si>
    <t>7440-43-9</t>
  </si>
  <si>
    <t>Kaadmium ja anorgaanilised ühendid, ümberarvutatuna kaadmiumiks</t>
  </si>
  <si>
    <t>7439-92-1</t>
  </si>
  <si>
    <t>Plii ja anorgaanilised ühendid, ümberarvutatuna pliiks</t>
  </si>
  <si>
    <t>7440-50-8</t>
  </si>
  <si>
    <t>Vask ja anorgaanilised ühendid, ümberarvutatuna vaseks</t>
  </si>
  <si>
    <t>7440-66-6</t>
  </si>
  <si>
    <t>Tsingiühendid, ümberarvutatuna tsingiks</t>
  </si>
  <si>
    <t>7440-38-2</t>
  </si>
  <si>
    <t>Arseen ja anorgaanilised ühendid, ümberarvutatuna arseeniks</t>
  </si>
  <si>
    <t>7440-47-3</t>
  </si>
  <si>
    <t>Kroomi (VI) ühendid, ümberarvutatuna kroomiks</t>
  </si>
  <si>
    <t>7440-02-0</t>
  </si>
  <si>
    <t>Nikkel ja lahustavad ühendid, ümberarvutatuna nikliks</t>
  </si>
  <si>
    <t>7782-49-2</t>
  </si>
  <si>
    <t>Seleen ja anorgaanilised ühendid, ümberarvutatuna seleeniks</t>
  </si>
  <si>
    <t>7440-62-2</t>
  </si>
  <si>
    <t>Vanaadium ja ühendid, ümberarvutatuna vanaadiumiks</t>
  </si>
  <si>
    <t>124-38-9</t>
  </si>
  <si>
    <t>Süsinikdioksiid</t>
  </si>
  <si>
    <t>124-38-9-bio</t>
  </si>
  <si>
    <t>Süsinikdioksiid biomassist</t>
  </si>
  <si>
    <t>50-32-8</t>
  </si>
  <si>
    <t>Benso(a)püreen</t>
  </si>
  <si>
    <t>205-99-2</t>
  </si>
  <si>
    <t>Benso(b)fluoranteen</t>
  </si>
  <si>
    <t>207-08-9</t>
  </si>
  <si>
    <t>Benso(k)fluoranteen</t>
  </si>
  <si>
    <t>193-39-5</t>
  </si>
  <si>
    <t>Indeno(1,2,3-cd)püreen</t>
  </si>
  <si>
    <t>Aromaatsed</t>
  </si>
  <si>
    <t>Aromaatsed süsivesinikud</t>
  </si>
  <si>
    <t>Vesiniksulfiid</t>
  </si>
  <si>
    <t>PCDD/PCDF</t>
  </si>
  <si>
    <t>Polüklooritud dibenso-p-dioksiinid ja dibensofuraanid</t>
  </si>
  <si>
    <t>mg</t>
  </si>
  <si>
    <t>118-74-1</t>
  </si>
  <si>
    <t>Heksaklorobenseen (HCB)</t>
  </si>
  <si>
    <t>1336-36-3</t>
  </si>
  <si>
    <t>Polüklooritud bifenüülid (PCB-d)</t>
  </si>
  <si>
    <t>7439-96-5</t>
  </si>
  <si>
    <t>Mangaan ja ühendid, ümberarvutatuna mangaaniks</t>
  </si>
  <si>
    <t>7664-39-3</t>
  </si>
  <si>
    <t>Vesinikfluoriid</t>
  </si>
  <si>
    <t>2 793 616,80</t>
  </si>
  <si>
    <t>1 477 527,492</t>
  </si>
  <si>
    <t>Installeeritud elektrituulikud</t>
  </si>
  <si>
    <t>Võimsus MW</t>
  </si>
  <si>
    <t>Tootja</t>
  </si>
  <si>
    <t>Tuulikute arv</t>
  </si>
  <si>
    <t>Tuulikute tootja</t>
  </si>
  <si>
    <t>Asukoht</t>
  </si>
  <si>
    <r>
      <t>Kogu tuulepargi maahõive, km</t>
    </r>
    <r>
      <rPr>
        <b/>
        <vertAlign val="superscript"/>
        <sz val="12"/>
        <color theme="1"/>
        <rFont val="Segoe UI"/>
        <family val="2"/>
      </rPr>
      <t>2</t>
    </r>
  </si>
  <si>
    <r>
      <t>Ligikaudne üksiku tuuliku maahõive, km</t>
    </r>
    <r>
      <rPr>
        <b/>
        <vertAlign val="superscript"/>
        <sz val="12"/>
        <color theme="1"/>
        <rFont val="Segoe UI"/>
        <family val="2"/>
      </rPr>
      <t>2</t>
    </r>
  </si>
  <si>
    <t>Läätsa tuulepark</t>
  </si>
  <si>
    <t>Telewind AS</t>
  </si>
  <si>
    <t>Siemens</t>
  </si>
  <si>
    <t>XY: 6448474.95, 395339.42</t>
  </si>
  <si>
    <t>Nasva tuulepark</t>
  </si>
  <si>
    <t>Baltic Wind Energy OÜ (1,2 võrku)</t>
  </si>
  <si>
    <t>Vestas</t>
  </si>
  <si>
    <t>XY: 6454547.13, 404167.40</t>
  </si>
  <si>
    <t>Türju tuulikud</t>
  </si>
  <si>
    <t>Rotorline OÜ</t>
  </si>
  <si>
    <t>XY: 6428986.22, 383132.59</t>
  </si>
  <si>
    <t>Nasva tuulik I</t>
  </si>
  <si>
    <t>Baltic Workboats AS</t>
  </si>
  <si>
    <t>XY: 6454106.05, 405535.04</t>
  </si>
  <si>
    <t>Aseriaru tuulepark</t>
  </si>
  <si>
    <t>Enefit Green AS</t>
  </si>
  <si>
    <t>Winwind</t>
  </si>
  <si>
    <t>XY: 6593977.25, 660028.59</t>
  </si>
  <si>
    <t>Paldiski tuulepark</t>
  </si>
  <si>
    <t>GE Energy</t>
  </si>
  <si>
    <t>XY: 6581285.64, 504754.61</t>
  </si>
  <si>
    <t>Nasva tuulik II</t>
  </si>
  <si>
    <t>XY: 6453632.51, 405707.87</t>
  </si>
  <si>
    <t>Salme II tuulepark</t>
  </si>
  <si>
    <t>Eleon AS</t>
  </si>
  <si>
    <t>Eleon</t>
  </si>
  <si>
    <t>XY: 6449032.14, 395005.28</t>
  </si>
  <si>
    <t>Torgu tuulegeneraator[1]</t>
  </si>
  <si>
    <t>Meritreid OÜ</t>
  </si>
  <si>
    <t>XY: 6422897.66, 386484.74</t>
  </si>
  <si>
    <t>Tooma II tuulepark</t>
  </si>
  <si>
    <t>Enercon</t>
  </si>
  <si>
    <t>XY: 6497657.09, 474155.65</t>
  </si>
  <si>
    <t>Purtse</t>
  </si>
  <si>
    <t>XY: 6587984.14, 667170.19</t>
  </si>
  <si>
    <t>Saarde</t>
  </si>
  <si>
    <t>Utilitas Wind OÜ</t>
  </si>
  <si>
    <t>XY: 6446988.34, 567529.99</t>
  </si>
  <si>
    <r>
      <t>[1]</t>
    </r>
    <r>
      <rPr>
        <sz val="10"/>
        <color theme="1"/>
        <rFont val="Segoe UI"/>
        <family val="2"/>
      </rPr>
      <t xml:space="preserve"> https://et.wikipedia.org/wiki/Torgu_tuulepark - Vastavalt Vikipeedia artiklile on esialgu olnud alal kolm tuulikut, millest kaks liikvideeriti ja rajati asemel üks. Vastavalt Maa-ameti ortofotole ja kaldaerofotodele on ajavahemikul 2017-2023 rajatud juurde veel kaks tuulikut, mille tehniliste parameetrite infot ei õnnestunud leida. Seega käsitletud siin tabelis vaid ühte (kõige põhjapoolsemat) 2015. aastal rajatud generaatorit.</t>
    </r>
  </si>
  <si>
    <t>ligikaudne üksik tuulik</t>
  </si>
  <si>
    <t>laiendatud tuulepargi ala</t>
  </si>
  <si>
    <t>MW/km2</t>
  </si>
  <si>
    <t>Võimsus</t>
  </si>
  <si>
    <t>Arendaja</t>
  </si>
  <si>
    <t>Päiksepargi maahõive[1], km2</t>
  </si>
  <si>
    <t>Paldiski päiksepark[2]</t>
  </si>
  <si>
    <t>XY: 6580201.80, 504619.60</t>
  </si>
  <si>
    <t>Kasepargi[3]</t>
  </si>
  <si>
    <t>Sunly AS</t>
  </si>
  <si>
    <t>XY: 6513234.13, 630533.29</t>
  </si>
  <si>
    <t>XY: 6511817.19, 627003.76</t>
  </si>
  <si>
    <t>XY: 6478444.80, 658726.08</t>
  </si>
  <si>
    <t>XY: 6494158.28, 686121.93</t>
  </si>
  <si>
    <t>Ruusa päiksepark[4]</t>
  </si>
  <si>
    <t>Kaamos Energy</t>
  </si>
  <si>
    <t>XY: 6438137.70, 694318.54</t>
  </si>
  <si>
    <t>Rääma päiksepark</t>
  </si>
  <si>
    <t>Pärnu Päikesepargid</t>
  </si>
  <si>
    <t>XY: 6474190.99, 530783.78</t>
  </si>
  <si>
    <t>Kärdla[5]</t>
  </si>
  <si>
    <t>XY: 6540393.05, 428898.01</t>
  </si>
  <si>
    <t>Aruküla[6]</t>
  </si>
  <si>
    <t>Estiko Energia</t>
  </si>
  <si>
    <t>XY: 6580474.94, 561859.57</t>
  </si>
  <si>
    <t>KOKKU</t>
  </si>
  <si>
    <t>[1] Pindala määramisel on lähtutud ETAK õuemaa kihist (302), millel on toodud päikseparkide alad, va Ruusa päiksepark</t>
  </si>
  <si>
    <t>[3] Sunly koduleht</t>
  </si>
  <si>
    <t>Tuulikute arv x üksiku tuuliku maavõtt</t>
  </si>
  <si>
    <t>km2/MW</t>
  </si>
  <si>
    <t>BAU</t>
  </si>
  <si>
    <t>taastuvenergia ja salvestus (avamere tuuleenergia)</t>
  </si>
  <si>
    <t>tuumaenergia</t>
  </si>
  <si>
    <t>süsiniku püüdmine ja kasutamine (CCU)</t>
  </si>
  <si>
    <t>taastuvgaas</t>
  </si>
  <si>
    <t>kõik tehnoloogiad</t>
  </si>
  <si>
    <t>netoimpordita stsenaarium</t>
  </si>
  <si>
    <t>1000 MW juhitav võimsus</t>
  </si>
  <si>
    <t>Energiaallikas</t>
  </si>
  <si>
    <t>Olemasolev võimsus 2020</t>
  </si>
  <si>
    <t>DSM</t>
  </si>
  <si>
    <t>kokku</t>
  </si>
  <si>
    <t>juhitav</t>
  </si>
  <si>
    <t>MW</t>
  </si>
  <si>
    <t>Elekter</t>
  </si>
  <si>
    <t>Kaugküte</t>
  </si>
  <si>
    <t>Lokaalküte</t>
  </si>
  <si>
    <t>Tehnoloogia-neutraalne</t>
  </si>
  <si>
    <t>STSENAARIUMID</t>
  </si>
  <si>
    <t>ühik</t>
  </si>
  <si>
    <t>GW/h</t>
  </si>
  <si>
    <t>stsenaariumid 2035</t>
  </si>
  <si>
    <t>olemasolev</t>
  </si>
  <si>
    <t>Lubade koond</t>
  </si>
  <si>
    <r>
      <t>NO</t>
    </r>
    <r>
      <rPr>
        <vertAlign val="subscript"/>
        <sz val="11"/>
        <color theme="1"/>
        <rFont val="Calibri"/>
        <family val="2"/>
        <scheme val="minor"/>
      </rPr>
      <t>x</t>
    </r>
    <r>
      <rPr>
        <sz val="11"/>
        <color theme="1"/>
        <rFont val="Calibri"/>
        <family val="2"/>
        <charset val="186"/>
        <scheme val="minor"/>
      </rPr>
      <t xml:space="preserve"> </t>
    </r>
  </si>
  <si>
    <r>
      <t>SO</t>
    </r>
    <r>
      <rPr>
        <vertAlign val="subscript"/>
        <sz val="11"/>
        <color theme="1"/>
        <rFont val="Calibri"/>
        <family val="2"/>
        <scheme val="minor"/>
      </rPr>
      <t>2</t>
    </r>
    <r>
      <rPr>
        <sz val="11"/>
        <color theme="1"/>
        <rFont val="Calibri"/>
        <family val="2"/>
        <charset val="186"/>
        <scheme val="minor"/>
      </rPr>
      <t xml:space="preserve"> </t>
    </r>
  </si>
  <si>
    <t>tuh t</t>
  </si>
  <si>
    <t xml:space="preserve">; </t>
  </si>
  <si>
    <t>paraneb, kuna põlevkivitöötlemise jäätmeid jääb vähemaks</t>
  </si>
  <si>
    <t>Viimastel aastatel on aheraine valdavas osas võetud taaskasutusse. Põlevkivituhk märkimisväärset taaskasutust ei ole leidnud.</t>
  </si>
  <si>
    <r>
      <t>Aidu</t>
    </r>
    <r>
      <rPr>
        <vertAlign val="superscript"/>
        <sz val="11"/>
        <color theme="1"/>
        <rFont val="Calibri"/>
        <family val="2"/>
        <scheme val="minor"/>
      </rPr>
      <t>30</t>
    </r>
  </si>
  <si>
    <r>
      <t>Vahi</t>
    </r>
    <r>
      <rPr>
        <vertAlign val="superscript"/>
        <sz val="11"/>
        <color theme="1"/>
        <rFont val="Calibri"/>
        <family val="2"/>
        <scheme val="minor"/>
      </rPr>
      <t>30</t>
    </r>
  </si>
  <si>
    <r>
      <t>Aasanurme</t>
    </r>
    <r>
      <rPr>
        <vertAlign val="superscript"/>
        <sz val="11"/>
        <color theme="1"/>
        <rFont val="Calibri"/>
        <family val="2"/>
        <scheme val="minor"/>
      </rPr>
      <t>30</t>
    </r>
  </si>
  <si>
    <r>
      <t>[2]</t>
    </r>
    <r>
      <rPr>
        <sz val="11"/>
        <color theme="1"/>
        <rFont val="Calibri"/>
        <family val="2"/>
        <scheme val="minor"/>
      </rPr>
      <t xml:space="preserve"> https://www.energia.ee/paldiskituur/?language=et</t>
    </r>
  </si>
  <si>
    <r>
      <t>[4]</t>
    </r>
    <r>
      <rPr>
        <sz val="11"/>
        <color theme="1"/>
        <rFont val="Calibri"/>
        <family val="2"/>
        <scheme val="minor"/>
      </rPr>
      <t xml:space="preserve"> https://majandus.postimees.ee/7843941/ruusal-alustas-tood-louna-eesti-uks-suuremaid-paikeseparke</t>
    </r>
  </si>
  <si>
    <r>
      <t>[5]</t>
    </r>
    <r>
      <rPr>
        <sz val="11"/>
        <color theme="1"/>
        <rFont val="Calibri"/>
        <family val="2"/>
        <scheme val="minor"/>
      </rPr>
      <t xml:space="preserve"> https://solar4you.ee/reference/kardla-900-kw-3/</t>
    </r>
  </si>
  <si>
    <r>
      <t>[6]</t>
    </r>
    <r>
      <rPr>
        <sz val="11"/>
        <color theme="1"/>
        <rFont val="Calibri"/>
        <family val="2"/>
        <scheme val="minor"/>
      </rPr>
      <t xml:space="preserve"> https://sonumitooja.ee/aru%C2%ADkul%C2%ADla-tuleb-pai%C2%ADke%C2%ADsee%C2%ADlekt%C2%ADri%C2%ADjaam/</t>
    </r>
  </si>
  <si>
    <t>GWH 2030</t>
  </si>
  <si>
    <t>maagaas</t>
  </si>
  <si>
    <t>elekter</t>
  </si>
  <si>
    <t>jahutus</t>
  </si>
  <si>
    <t>Veerg1</t>
  </si>
  <si>
    <t>HEATING</t>
  </si>
  <si>
    <t>All electric GWh</t>
  </si>
  <si>
    <t>All electric MW</t>
  </si>
  <si>
    <t>All electric units</t>
  </si>
  <si>
    <t>LHC GWh</t>
  </si>
  <si>
    <t>LHC MW</t>
  </si>
  <si>
    <t>LHC units</t>
  </si>
  <si>
    <t>DHC GWh</t>
  </si>
  <si>
    <t>DHC MW</t>
  </si>
  <si>
    <t>DHC units</t>
  </si>
  <si>
    <t>BAU GWh</t>
  </si>
  <si>
    <t>BAU MW</t>
  </si>
  <si>
    <t>BAU units</t>
  </si>
  <si>
    <t>Technology Neutral GWh</t>
  </si>
  <si>
    <t>Technology Neutral MW</t>
  </si>
  <si>
    <t>Technology Neutral units</t>
  </si>
  <si>
    <t>District Heating --&gt; Non-Urban</t>
  </si>
  <si>
    <t>A/W Heat pump</t>
  </si>
  <si>
    <t>District Heating --&gt; Urban</t>
  </si>
  <si>
    <t>District Cooling --&gt; Non-Urban</t>
  </si>
  <si>
    <t>Absorption chillers</t>
  </si>
  <si>
    <t>District Cooling --&gt; Urban</t>
  </si>
  <si>
    <t>Local Heating --&gt; Single houses --&gt; Non-Urban</t>
  </si>
  <si>
    <t>Air to Air Heat pump</t>
  </si>
  <si>
    <t>Local Heating --&gt; Single houses --&gt; Urban</t>
  </si>
  <si>
    <t>Local Heating --&gt; Apartment Buildings --&gt; Non-Urban</t>
  </si>
  <si>
    <t>Air to Water Heat pumps</t>
  </si>
  <si>
    <t>Local Heating --&gt; Apartment Buildings --&gt; Urban</t>
  </si>
  <si>
    <t>Local Heating --&gt; Services/Commercial Buildings --&gt; Urban</t>
  </si>
  <si>
    <t>Local Heating --&gt; Services/Commercial Buildings --&gt;Non-Urban</t>
  </si>
  <si>
    <t>Biogas boiler</t>
  </si>
  <si>
    <t>INDUSTRY cooling</t>
  </si>
  <si>
    <t>Biomass (wood chips or pellets) boiler</t>
  </si>
  <si>
    <t>Biomass (wood chips/pellets) CHP</t>
  </si>
  <si>
    <t>Biomass boiler</t>
  </si>
  <si>
    <t>Biomass CHP (heat)</t>
  </si>
  <si>
    <t>Local Cooling --&gt; Apartment Building --&gt; Non-Urban</t>
  </si>
  <si>
    <t>Central air conditioner</t>
  </si>
  <si>
    <t>Local Cooling --&gt; Apartment Building --&gt; Urban</t>
  </si>
  <si>
    <t>Local Cooling --&gt; Services/Commercial --&gt; Non-Urban</t>
  </si>
  <si>
    <t>Local Cooling --&gt; Services/Commercial --&gt; Urban</t>
  </si>
  <si>
    <t>Local Cooling --&gt; Single houses --&gt; Non-Urban</t>
  </si>
  <si>
    <t>Local Cooling --&gt; Single houses --&gt; Urban</t>
  </si>
  <si>
    <t>Central Chillers (A/W)</t>
  </si>
  <si>
    <t>Central Chillers (W/W)</t>
  </si>
  <si>
    <t>Chillers (A/W)</t>
  </si>
  <si>
    <t>Chillers (W/W)</t>
  </si>
  <si>
    <t>Coventional/Commercil HP</t>
  </si>
  <si>
    <t>Electric boiler</t>
  </si>
  <si>
    <t>Electric Boiler</t>
  </si>
  <si>
    <t>Electric boilers</t>
  </si>
  <si>
    <t>Fuel cell micro-CHP</t>
  </si>
  <si>
    <t>Fuel cell micro-CHP; Heat coverage (GWh)</t>
  </si>
  <si>
    <t>Gas Boiler</t>
  </si>
  <si>
    <t>Ground source Heat pump</t>
  </si>
  <si>
    <t>Ground-source heat pump</t>
  </si>
  <si>
    <t>High temperature HP (up to 140 °C)</t>
  </si>
  <si>
    <t>Hydrogen boiler</t>
  </si>
  <si>
    <t>Hydrogen Boiler</t>
  </si>
  <si>
    <t>Hydrogen CHP</t>
  </si>
  <si>
    <t>Industrial waste heat direct utilization from process industries</t>
  </si>
  <si>
    <t>Laboratory scale HP (&gt;140 °C)</t>
  </si>
  <si>
    <t>Municipal waste CHP</t>
  </si>
  <si>
    <t>NG boiler</t>
  </si>
  <si>
    <t>Oil boiler</t>
  </si>
  <si>
    <t>Oil Boiler</t>
  </si>
  <si>
    <t>Oil shale boiler</t>
  </si>
  <si>
    <t>Oil shale CHP</t>
  </si>
  <si>
    <t>Oil shale oil boiler</t>
  </si>
  <si>
    <t>Oil shale oil CHP</t>
  </si>
  <si>
    <t>Solar thermal collector</t>
  </si>
  <si>
    <t>Solar Thermal</t>
  </si>
  <si>
    <t>Split air conditioner (reversible)</t>
  </si>
  <si>
    <t>W/W Heat pump</t>
  </si>
  <si>
    <t>Waste Heat from Electrolyzers</t>
  </si>
  <si>
    <t>Waste Heat from Electrolyzers (GWh)</t>
  </si>
  <si>
    <t>põletamine</t>
  </si>
  <si>
    <t>jah</t>
  </si>
  <si>
    <t>Total</t>
  </si>
  <si>
    <t>sh põletamine</t>
  </si>
  <si>
    <t>soojuspump</t>
  </si>
  <si>
    <t>Keskkonnatrendide indeks sisaldab selles tabelis erinevatel ridadel loetletud näitajaid (kokku 36 näitajat). Seega indeksit mõjutavad tehnoloogiad selle võrra kui palju mõjutavad siin tabelis toodud teisi näitajaid. Eraldiseisvalt ei ole põhjust selle näitajaga võrrelda.</t>
  </si>
  <si>
    <t>sh soojuspump</t>
  </si>
  <si>
    <t>põllumajandusjäätmete kääritamine võrku</t>
  </si>
  <si>
    <t>põllumajandusjäätmete kääritamine - võrguväline</t>
  </si>
  <si>
    <t>biojäätmete kääritamine võrku</t>
  </si>
  <si>
    <t>biojäätmete kääritamine - võrguväline</t>
  </si>
  <si>
    <t>reovee kääritamine võrku</t>
  </si>
  <si>
    <t>reovee kääritamine - võrguväline</t>
  </si>
  <si>
    <t>elektrolüüs võrku</t>
  </si>
  <si>
    <t>elektrolüüs - võrguväline</t>
  </si>
  <si>
    <t>sünteetiline gaas võrku</t>
  </si>
  <si>
    <t>TWh</t>
  </si>
  <si>
    <t>stsenaariumid 2030</t>
  </si>
  <si>
    <t>Column1</t>
  </si>
  <si>
    <t>1</t>
  </si>
  <si>
    <t>2</t>
  </si>
  <si>
    <t>3</t>
  </si>
  <si>
    <t>4</t>
  </si>
  <si>
    <t>5</t>
  </si>
  <si>
    <t>6</t>
  </si>
  <si>
    <t>7</t>
  </si>
  <si>
    <t>8</t>
  </si>
  <si>
    <t>Biometaani stsenaarium</t>
  </si>
  <si>
    <t>Vesiniku stsenaarium</t>
  </si>
  <si>
    <t>Vähima kulu stsenaarium</t>
  </si>
  <si>
    <t>F-gaaside kasutust põhjustatud võimsused MW</t>
  </si>
  <si>
    <t>Biojäätmete kääritamisest tekkiv mass sõltub biogaasi jaamade tootmismahust TWh. Tegemist ei ole jäätemetekkega vaid jäätmete kasutamisega ringmajanduse mõttes.</t>
  </si>
  <si>
    <t>STSENAARIUMIT KIRJELDAV VÄÄRTUS</t>
  </si>
  <si>
    <t>ha/MW</t>
  </si>
  <si>
    <t>Meretuulepark</t>
  </si>
  <si>
    <t>Enefit Green</t>
  </si>
  <si>
    <t>Maismaa tuulepargid</t>
  </si>
  <si>
    <t>50-100</t>
  </si>
  <si>
    <t>XY:  6431867.60, 500313.76</t>
  </si>
  <si>
    <t>Liivi lahe meretuulepark</t>
  </si>
  <si>
    <t>-</t>
  </si>
  <si>
    <t>Roheelekter on materjalimahukas (tuulikud, päikesepaneelid, akud). Nendel on kindel eluiga, pärast mida muutuvad jäätmeks.
Tabelis on toodud põlevkivielektri jäätmeteke. Rohetehnoloogiast põhjustatud jäätmete koguhulka pole praeguste andmete põhjal võimalik arvutada.</t>
  </si>
  <si>
    <t>Saare-Liivi meretuulepark</t>
  </si>
  <si>
    <t>Utilitas</t>
  </si>
  <si>
    <t>XY: 6441410.40, 482416.93</t>
  </si>
  <si>
    <r>
      <t xml:space="preserve">Peamised ohtlikud jäätmed on põlevkivi töötlemisel tekkinud ohtlikud jäätmed ning amortiseerunud akud ja tuumajäätmed.
Tabelis on antud jäätmete kogus 10 a lõikes tonnides.
</t>
    </r>
    <r>
      <rPr>
        <sz val="11"/>
        <color rgb="FFFF0000"/>
        <rFont val="Calibri"/>
        <family val="2"/>
        <scheme val="minor"/>
      </rPr>
      <t>NB! Lisaks tekib ka muid elektroonikajäätmeid, mida võib lugeda ohtlikuks aga nende kogus on teadmata.</t>
    </r>
  </si>
  <si>
    <t>olmejäätmete kogust ei ole võimalik arvutada</t>
  </si>
  <si>
    <t>Olmejäätmete võimalik teke arvestades kliimaneutraalse energia tehnoloogiate eluiga.</t>
  </si>
  <si>
    <r>
      <t>Peenosakeste PM</t>
    </r>
    <r>
      <rPr>
        <vertAlign val="subscript"/>
        <sz val="11"/>
        <color theme="1"/>
        <rFont val="Calibri"/>
        <family val="2"/>
        <scheme val="minor"/>
      </rPr>
      <t>10</t>
    </r>
    <r>
      <rPr>
        <sz val="11"/>
        <color theme="1"/>
        <rFont val="Calibri"/>
        <family val="2"/>
        <scheme val="minor"/>
      </rPr>
      <t xml:space="preserve"> heide tonnides aastas.</t>
    </r>
  </si>
  <si>
    <r>
      <t>Peenosakeste PM</t>
    </r>
    <r>
      <rPr>
        <vertAlign val="subscript"/>
        <sz val="11"/>
        <color theme="1"/>
        <rFont val="Calibri"/>
        <family val="2"/>
        <scheme val="minor"/>
      </rPr>
      <t>2,5</t>
    </r>
    <r>
      <rPr>
        <sz val="11"/>
        <color theme="1"/>
        <rFont val="Calibri"/>
        <family val="2"/>
        <scheme val="minor"/>
      </rPr>
      <t xml:space="preserve"> heide tonnides aastas.</t>
    </r>
  </si>
  <si>
    <r>
      <t xml:space="preserve">meretuuleparkide maavõtt ha
</t>
    </r>
    <r>
      <rPr>
        <sz val="11"/>
        <color rgb="FFFF0000"/>
        <rFont val="Calibri"/>
        <family val="2"/>
        <scheme val="minor"/>
      </rPr>
      <t>NB! Esitatud number on kogu maavõtu maht meres.</t>
    </r>
  </si>
  <si>
    <t>elektri tootmiseks vajamineva põlevkivi kogus aastas tonnides</t>
  </si>
  <si>
    <r>
      <t xml:space="preserve">Maavõtt ha.
</t>
    </r>
    <r>
      <rPr>
        <sz val="11"/>
        <color rgb="FFFF0000"/>
        <rFont val="Calibri"/>
        <family val="2"/>
        <scheme val="minor"/>
      </rPr>
      <t>NB! Esitatud number on kogu maavõtu maht, mitte  maavõtt kaitstavatel aladel.</t>
    </r>
  </si>
  <si>
    <r>
      <t xml:space="preserve">meretuulepargid rannikukogumitele
meretuuleparkide maavõtt ha
</t>
    </r>
    <r>
      <rPr>
        <sz val="11"/>
        <color rgb="FFFF0000"/>
        <rFont val="Calibri"/>
        <family val="2"/>
        <scheme val="minor"/>
      </rPr>
      <t>NB! Esitatud number on kogu maavõtu maht meres, mitte  maavõtt kaitstavatel merealadel.</t>
    </r>
  </si>
  <si>
    <r>
      <t xml:space="preserve">Maavõtt ha.
</t>
    </r>
    <r>
      <rPr>
        <sz val="11"/>
        <color rgb="FFFF0000"/>
        <rFont val="Calibri"/>
        <family val="2"/>
        <scheme val="minor"/>
      </rPr>
      <t>NB! Esitatud number on kogu maavõtu maht, mitte  maavõtt Natura aladel.</t>
    </r>
  </si>
  <si>
    <r>
      <t xml:space="preserve">Maavõtt maismaal ha.
</t>
    </r>
    <r>
      <rPr>
        <sz val="11"/>
        <color rgb="FFFF0000"/>
        <rFont val="Calibri"/>
        <family val="2"/>
        <scheme val="minor"/>
      </rPr>
      <t xml:space="preserve">NB! Esitatud number on kogu maavõtu maht, mitte rangelt kaitstava metsamaa raadamise pindala. </t>
    </r>
  </si>
  <si>
    <r>
      <t xml:space="preserve">Maavõtt ha.
</t>
    </r>
    <r>
      <rPr>
        <sz val="11"/>
        <color rgb="FFFF0000"/>
        <rFont val="Calibri"/>
        <family val="2"/>
        <scheme val="minor"/>
      </rPr>
      <t>NB! Esitatud number on kogu maavõtu maht, mitte  maavõtt kaitstavate liikide elupaikades.</t>
    </r>
  </si>
  <si>
    <t>põletamise teel (heitgaasid) saadav energiahul GWH</t>
  </si>
  <si>
    <t>Soojuseks vajamineva põlevkivi kogus aastatel 2035 ja 2025. Tuhat tonni.</t>
  </si>
  <si>
    <t>MÕÕDIKUD JA EESMÄRGID</t>
  </si>
  <si>
    <t>GAASIVÕRGU DEKARBONISEERIMINE</t>
  </si>
  <si>
    <r>
      <t>SO</t>
    </r>
    <r>
      <rPr>
        <vertAlign val="subscript"/>
        <sz val="11"/>
        <color theme="1"/>
        <rFont val="Calibri"/>
        <family val="2"/>
        <scheme val="minor"/>
      </rPr>
      <t>2</t>
    </r>
    <r>
      <rPr>
        <sz val="11"/>
        <color theme="1"/>
        <rFont val="Calibri"/>
        <family val="2"/>
        <scheme val="minor"/>
      </rPr>
      <t>, NO</t>
    </r>
    <r>
      <rPr>
        <vertAlign val="subscript"/>
        <sz val="11"/>
        <color theme="1"/>
        <rFont val="Calibri"/>
        <family val="2"/>
        <scheme val="minor"/>
      </rPr>
      <t>x</t>
    </r>
    <r>
      <rPr>
        <sz val="11"/>
        <color theme="1"/>
        <rFont val="Calibri"/>
        <family val="2"/>
        <scheme val="minor"/>
      </rPr>
      <t xml:space="preserve"> heide. Tuhat tonni.</t>
    </r>
  </si>
  <si>
    <r>
      <t>SO</t>
    </r>
    <r>
      <rPr>
        <vertAlign val="subscript"/>
        <sz val="11"/>
        <color theme="1"/>
        <rFont val="Calibri"/>
        <family val="2"/>
        <scheme val="minor"/>
      </rPr>
      <t>2</t>
    </r>
    <r>
      <rPr>
        <sz val="11"/>
        <color theme="1"/>
        <rFont val="Calibri"/>
        <family val="2"/>
        <scheme val="minor"/>
      </rPr>
      <t xml:space="preserve"> heide. Tuhat tonni.</t>
    </r>
  </si>
  <si>
    <r>
      <t>NO</t>
    </r>
    <r>
      <rPr>
        <vertAlign val="subscript"/>
        <sz val="11"/>
        <color theme="1"/>
        <rFont val="Calibri"/>
        <family val="2"/>
        <scheme val="minor"/>
      </rPr>
      <t>x</t>
    </r>
    <r>
      <rPr>
        <sz val="11"/>
        <color theme="1"/>
        <rFont val="Calibri"/>
        <family val="2"/>
        <scheme val="minor"/>
      </rPr>
      <t xml:space="preserve"> heide. Tuhat tonni.</t>
    </r>
  </si>
  <si>
    <t>Kasvuhoonegaaside heitkogus. Miljon tonni.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</si>
</sst>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23" x14ac:knownFonts="1">
    <font>
      <sz val="11"/>
      <color theme="1"/>
      <name val="Calibri"/>
      <family val="2"/>
      <charset val="186"/>
      <scheme val="minor"/>
    </font>
    <font>
      <b/>
      <sz val="11"/>
      <color theme="1"/>
      <name val="Calibri"/>
      <family val="2"/>
      <scheme val="minor"/>
    </font>
    <font>
      <sz val="11"/>
      <color theme="1"/>
      <name val="Calibri"/>
      <family val="2"/>
      <scheme val="minor"/>
    </font>
    <font>
      <i/>
      <sz val="11"/>
      <color theme="1"/>
      <name val="Calibri"/>
      <family val="2"/>
      <scheme val="minor"/>
    </font>
    <font>
      <sz val="11"/>
      <color theme="0" tint="-0.34998626667073579"/>
      <name val="Calibri"/>
      <family val="2"/>
      <scheme val="minor"/>
    </font>
    <font>
      <sz val="11"/>
      <name val="Calibri"/>
      <family val="2"/>
      <scheme val="minor"/>
    </font>
    <font>
      <b/>
      <sz val="11"/>
      <color theme="0"/>
      <name val="Calibri"/>
      <family val="2"/>
      <scheme val="minor"/>
    </font>
    <font>
      <sz val="12"/>
      <color theme="1"/>
      <name val="Segoe UI"/>
      <family val="2"/>
    </font>
    <font>
      <b/>
      <sz val="12"/>
      <color theme="1"/>
      <name val="Segoe UI"/>
      <family val="2"/>
    </font>
    <font>
      <sz val="10"/>
      <color theme="1"/>
      <name val="Times New Roman"/>
      <family val="1"/>
    </font>
    <font>
      <b/>
      <vertAlign val="superscript"/>
      <sz val="12"/>
      <color theme="1"/>
      <name val="Segoe UI"/>
      <family val="2"/>
    </font>
    <font>
      <sz val="10"/>
      <color theme="1"/>
      <name val="Segoe UI"/>
      <family val="2"/>
    </font>
    <font>
      <vertAlign val="superscript"/>
      <sz val="10"/>
      <color theme="1"/>
      <name val="Segoe UI"/>
      <family val="2"/>
    </font>
    <font>
      <u/>
      <sz val="11"/>
      <color theme="10"/>
      <name val="Calibri"/>
      <family val="2"/>
      <charset val="186"/>
      <scheme val="minor"/>
    </font>
    <font>
      <sz val="11"/>
      <color theme="1"/>
      <name val="Calibri"/>
      <family val="2"/>
      <charset val="186"/>
      <scheme val="minor"/>
    </font>
    <font>
      <vertAlign val="subscript"/>
      <sz val="11"/>
      <color theme="1"/>
      <name val="Calibri"/>
      <family val="2"/>
      <scheme val="minor"/>
    </font>
    <font>
      <sz val="8"/>
      <name val="Calibri"/>
      <family val="2"/>
      <charset val="186"/>
      <scheme val="minor"/>
    </font>
    <font>
      <sz val="11"/>
      <color rgb="FFFF0000"/>
      <name val="Calibri"/>
      <family val="2"/>
      <scheme val="minor"/>
    </font>
    <font>
      <u/>
      <sz val="11"/>
      <color theme="10"/>
      <name val="Calibri"/>
      <family val="2"/>
      <scheme val="minor"/>
    </font>
    <font>
      <vertAlign val="superscript"/>
      <sz val="11"/>
      <color theme="1"/>
      <name val="Calibri"/>
      <family val="2"/>
      <scheme val="minor"/>
    </font>
    <font>
      <b/>
      <sz val="11"/>
      <color rgb="FF000000"/>
      <name val="Calibri"/>
      <family val="2"/>
      <scheme val="minor"/>
    </font>
    <font>
      <sz val="11"/>
      <color theme="0"/>
      <name val="Calibri"/>
      <family val="2"/>
      <charset val="186"/>
      <scheme val="minor"/>
    </font>
    <font>
      <sz val="9"/>
      <color indexed="81"/>
      <name val="Tahoma"/>
      <family val="2"/>
    </font>
  </fonts>
  <fills count="14">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4"/>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rgb="FFD9D9D9"/>
        <bgColor indexed="64"/>
      </patternFill>
    </fill>
    <fill>
      <patternFill patternType="solid">
        <fgColor theme="8" tint="0.39997558519241921"/>
        <bgColor indexed="65"/>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0"/>
      </left>
      <right/>
      <top/>
      <bottom/>
      <diagonal/>
    </border>
    <border>
      <left/>
      <right style="medium">
        <color theme="0"/>
      </right>
      <top/>
      <bottom/>
      <diagonal/>
    </border>
  </borders>
  <cellStyleXfs count="4">
    <xf numFmtId="0" fontId="0" fillId="0" borderId="0"/>
    <xf numFmtId="0" fontId="13" fillId="0" borderId="0" applyNumberFormat="0" applyFill="0" applyBorder="0" applyAlignment="0" applyProtection="0"/>
    <xf numFmtId="43" fontId="14" fillId="0" borderId="0" applyFont="0" applyFill="0" applyBorder="0" applyAlignment="0" applyProtection="0"/>
    <xf numFmtId="0" fontId="14" fillId="12" borderId="0" applyNumberFormat="0" applyBorder="0" applyAlignment="0" applyProtection="0"/>
  </cellStyleXfs>
  <cellXfs count="156">
    <xf numFmtId="0" fontId="0" fillId="0" borderId="0" xfId="0"/>
    <xf numFmtId="0" fontId="2" fillId="0" borderId="0" xfId="0" applyFont="1" applyAlignment="1">
      <alignment vertical="top"/>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11" xfId="0" applyFont="1" applyBorder="1" applyAlignment="1">
      <alignment horizontal="center" vertical="center" wrapText="1"/>
    </xf>
    <xf numFmtId="0" fontId="2" fillId="2" borderId="4" xfId="0" applyFont="1" applyFill="1" applyBorder="1" applyAlignment="1">
      <alignment vertical="center" wrapText="1"/>
    </xf>
    <xf numFmtId="0" fontId="2" fillId="0" borderId="13" xfId="0" applyFont="1" applyBorder="1" applyAlignment="1">
      <alignment horizontal="center" vertical="center" wrapText="1"/>
    </xf>
    <xf numFmtId="0" fontId="2" fillId="0" borderId="10" xfId="0" applyFont="1" applyBorder="1" applyAlignment="1">
      <alignment vertical="center" wrapText="1"/>
    </xf>
    <xf numFmtId="0" fontId="2" fillId="2" borderId="5" xfId="0" applyFont="1" applyFill="1" applyBorder="1" applyAlignment="1">
      <alignment vertical="center" wrapText="1"/>
    </xf>
    <xf numFmtId="0" fontId="6" fillId="8" borderId="0" xfId="0" applyFont="1" applyFill="1"/>
    <xf numFmtId="0" fontId="6" fillId="9" borderId="0" xfId="0" applyFont="1" applyFill="1"/>
    <xf numFmtId="0" fontId="6" fillId="10" borderId="0" xfId="0" applyFont="1" applyFill="1"/>
    <xf numFmtId="0" fontId="6" fillId="6" borderId="0" xfId="0" applyFont="1" applyFill="1"/>
    <xf numFmtId="0" fontId="2" fillId="2" borderId="14" xfId="0" applyFont="1" applyFill="1" applyBorder="1" applyAlignment="1">
      <alignment vertical="center" wrapText="1"/>
    </xf>
    <xf numFmtId="0" fontId="2" fillId="0" borderId="0" xfId="0" applyFont="1" applyAlignment="1">
      <alignment horizontal="center"/>
    </xf>
    <xf numFmtId="0" fontId="1" fillId="0" borderId="17" xfId="0" applyFont="1" applyBorder="1" applyAlignment="1">
      <alignment horizontal="center"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2" fillId="0" borderId="9" xfId="0" applyFont="1" applyBorder="1" applyAlignment="1">
      <alignment horizontal="center" vertical="center" wrapText="1"/>
    </xf>
    <xf numFmtId="0" fontId="2" fillId="0" borderId="7" xfId="0" applyFont="1" applyBorder="1" applyAlignment="1">
      <alignment vertical="center" wrapText="1"/>
    </xf>
    <xf numFmtId="0" fontId="2" fillId="0" borderId="5" xfId="0" applyFont="1" applyBorder="1" applyAlignment="1">
      <alignment horizontal="center" vertical="center" wrapText="1"/>
    </xf>
    <xf numFmtId="0" fontId="5" fillId="0" borderId="4" xfId="0" applyFont="1" applyBorder="1" applyAlignment="1">
      <alignment vertical="center" wrapText="1"/>
    </xf>
    <xf numFmtId="0" fontId="0" fillId="0" borderId="0" xfId="0" applyAlignment="1">
      <alignment horizontal="right"/>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right" vertical="center" wrapText="1"/>
    </xf>
    <xf numFmtId="14" fontId="7" fillId="0" borderId="1" xfId="0" applyNumberFormat="1" applyFont="1" applyBorder="1" applyAlignment="1">
      <alignment horizontal="justify" vertical="center"/>
    </xf>
    <xf numFmtId="0" fontId="0" fillId="0" borderId="1" xfId="0" applyBorder="1"/>
    <xf numFmtId="0" fontId="7" fillId="0" borderId="1" xfId="0" applyFont="1" applyBorder="1" applyAlignment="1">
      <alignment horizontal="justify" vertical="center" wrapText="1"/>
    </xf>
    <xf numFmtId="0" fontId="7" fillId="0" borderId="1" xfId="0" applyFont="1" applyBorder="1" applyAlignment="1">
      <alignment horizontal="justify" vertical="center"/>
    </xf>
    <xf numFmtId="0" fontId="12" fillId="0" borderId="0" xfId="0" applyFont="1" applyAlignment="1">
      <alignment horizontal="justify" vertical="center"/>
    </xf>
    <xf numFmtId="2" fontId="0" fillId="0" borderId="0" xfId="0" applyNumberFormat="1"/>
    <xf numFmtId="164" fontId="0" fillId="0" borderId="0" xfId="0" applyNumberFormat="1"/>
    <xf numFmtId="0" fontId="1" fillId="7" borderId="15"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0" borderId="20" xfId="0" applyFont="1" applyBorder="1" applyAlignment="1">
      <alignment vertical="top" wrapText="1"/>
    </xf>
    <xf numFmtId="0" fontId="2" fillId="2" borderId="22" xfId="0" applyFont="1" applyFill="1" applyBorder="1" applyAlignment="1">
      <alignment vertical="center" wrapText="1"/>
    </xf>
    <xf numFmtId="0" fontId="2" fillId="0" borderId="22" xfId="0" applyFont="1" applyBorder="1" applyAlignment="1">
      <alignment vertical="center" wrapText="1"/>
    </xf>
    <xf numFmtId="0" fontId="3" fillId="2" borderId="22" xfId="0" applyFont="1" applyFill="1" applyBorder="1" applyAlignment="1">
      <alignment vertical="center" wrapText="1"/>
    </xf>
    <xf numFmtId="0" fontId="2" fillId="2" borderId="23" xfId="0" applyFont="1" applyFill="1" applyBorder="1" applyAlignment="1">
      <alignment vertical="center" wrapText="1"/>
    </xf>
    <xf numFmtId="0" fontId="1" fillId="0" borderId="0" xfId="0" applyFont="1"/>
    <xf numFmtId="3" fontId="2" fillId="0" borderId="22" xfId="0" applyNumberFormat="1" applyFont="1" applyBorder="1" applyAlignment="1">
      <alignment vertical="center" wrapText="1"/>
    </xf>
    <xf numFmtId="1" fontId="2" fillId="2" borderId="22" xfId="0" applyNumberFormat="1" applyFont="1" applyFill="1" applyBorder="1" applyAlignment="1">
      <alignment vertical="center" wrapText="1"/>
    </xf>
    <xf numFmtId="1" fontId="2" fillId="0" borderId="22" xfId="0" applyNumberFormat="1" applyFont="1" applyBorder="1" applyAlignment="1">
      <alignment vertical="center" wrapText="1"/>
    </xf>
    <xf numFmtId="0" fontId="2" fillId="2" borderId="21" xfId="0" applyFont="1" applyFill="1" applyBorder="1" applyAlignment="1">
      <alignment vertical="center" wrapText="1"/>
    </xf>
    <xf numFmtId="0" fontId="1" fillId="0" borderId="0" xfId="0" applyFont="1" applyAlignment="1">
      <alignment vertical="center" wrapText="1"/>
    </xf>
    <xf numFmtId="0" fontId="3" fillId="0" borderId="0" xfId="0" applyFont="1" applyAlignment="1">
      <alignment horizontal="right"/>
    </xf>
    <xf numFmtId="9" fontId="2" fillId="0" borderId="0" xfId="0" applyNumberFormat="1" applyFont="1" applyAlignment="1">
      <alignment horizontal="right"/>
    </xf>
    <xf numFmtId="0" fontId="2" fillId="0" borderId="0" xfId="0" applyFont="1" applyAlignment="1">
      <alignment horizontal="center" vertical="center" wrapText="1"/>
    </xf>
    <xf numFmtId="0" fontId="1" fillId="3" borderId="0" xfId="0" applyFont="1" applyFill="1" applyAlignment="1">
      <alignment horizontal="center" wrapText="1"/>
    </xf>
    <xf numFmtId="0" fontId="1" fillId="5" borderId="24" xfId="0" applyFont="1" applyFill="1" applyBorder="1" applyAlignment="1">
      <alignment horizontal="center"/>
    </xf>
    <xf numFmtId="0" fontId="1" fillId="6" borderId="24" xfId="0" applyFont="1" applyFill="1" applyBorder="1" applyAlignment="1">
      <alignment horizontal="center"/>
    </xf>
    <xf numFmtId="0" fontId="2" fillId="0" borderId="0" xfId="0" applyFont="1" applyAlignment="1">
      <alignment horizontal="left"/>
    </xf>
    <xf numFmtId="0" fontId="1" fillId="0" borderId="0" xfId="0" applyFont="1" applyAlignment="1">
      <alignment horizontal="left"/>
    </xf>
    <xf numFmtId="3" fontId="2" fillId="0" borderId="0" xfId="2" applyNumberFormat="1" applyFont="1" applyFill="1" applyBorder="1" applyAlignment="1">
      <alignment horizontal="right"/>
    </xf>
    <xf numFmtId="3" fontId="5" fillId="0" borderId="0" xfId="2" applyNumberFormat="1" applyFont="1" applyFill="1" applyBorder="1" applyAlignment="1">
      <alignment horizontal="right"/>
    </xf>
    <xf numFmtId="3" fontId="2" fillId="0" borderId="0" xfId="0" applyNumberFormat="1" applyFont="1" applyAlignment="1">
      <alignment horizontal="right"/>
    </xf>
    <xf numFmtId="3" fontId="5" fillId="0" borderId="0" xfId="0" applyNumberFormat="1" applyFont="1" applyAlignment="1">
      <alignment horizontal="right"/>
    </xf>
    <xf numFmtId="3" fontId="1" fillId="0" borderId="0" xfId="2" applyNumberFormat="1" applyFont="1" applyBorder="1" applyAlignment="1">
      <alignment horizontal="right"/>
    </xf>
    <xf numFmtId="14" fontId="7" fillId="0" borderId="1" xfId="0" applyNumberFormat="1" applyFont="1" applyBorder="1" applyAlignment="1">
      <alignment horizontal="justify" vertical="center" wrapText="1"/>
    </xf>
    <xf numFmtId="0" fontId="7" fillId="0" borderId="1" xfId="0" applyFont="1" applyBorder="1" applyAlignment="1">
      <alignment horizontal="right" vertical="center" wrapText="1"/>
    </xf>
    <xf numFmtId="2" fontId="0" fillId="0" borderId="0" xfId="0" applyNumberFormat="1" applyAlignment="1">
      <alignment horizontal="right"/>
    </xf>
    <xf numFmtId="0" fontId="4" fillId="2" borderId="2" xfId="0" applyFont="1" applyFill="1" applyBorder="1" applyAlignment="1">
      <alignment vertical="center" wrapText="1"/>
    </xf>
    <xf numFmtId="0" fontId="4" fillId="2" borderId="22" xfId="0" applyFont="1" applyFill="1" applyBorder="1" applyAlignment="1">
      <alignment vertical="center" wrapText="1"/>
    </xf>
    <xf numFmtId="2" fontId="2" fillId="0" borderId="22" xfId="0" applyNumberFormat="1" applyFont="1" applyBorder="1" applyAlignment="1">
      <alignment vertical="center" wrapText="1"/>
    </xf>
    <xf numFmtId="164" fontId="2" fillId="0" borderId="22" xfId="0" applyNumberFormat="1" applyFont="1" applyBorder="1" applyAlignment="1">
      <alignment vertical="center" wrapText="1"/>
    </xf>
    <xf numFmtId="0" fontId="8" fillId="0" borderId="1" xfId="0" applyFont="1" applyBorder="1" applyAlignment="1">
      <alignment horizontal="justify" vertical="center"/>
    </xf>
    <xf numFmtId="0" fontId="7" fillId="0" borderId="1" xfId="0" applyFont="1" applyBorder="1" applyAlignment="1">
      <alignment horizontal="right" vertical="center"/>
    </xf>
    <xf numFmtId="0" fontId="9" fillId="0" borderId="1" xfId="0" applyFont="1" applyBorder="1" applyAlignment="1">
      <alignment vertical="top"/>
    </xf>
    <xf numFmtId="0" fontId="13" fillId="0" borderId="1" xfId="1" applyBorder="1" applyAlignment="1">
      <alignment horizontal="justify" vertical="center"/>
    </xf>
    <xf numFmtId="0" fontId="8" fillId="0" borderId="1" xfId="0" applyFont="1" applyBorder="1" applyAlignment="1">
      <alignment horizontal="right" vertical="center"/>
    </xf>
    <xf numFmtId="0" fontId="18" fillId="0" borderId="1" xfId="1" applyFont="1" applyBorder="1" applyAlignment="1">
      <alignment horizontal="justify" vertical="center"/>
    </xf>
    <xf numFmtId="2" fontId="2" fillId="0" borderId="0" xfId="0" applyNumberFormat="1" applyFont="1"/>
    <xf numFmtId="0" fontId="18" fillId="0" borderId="0" xfId="1" applyFont="1" applyAlignment="1">
      <alignment horizontal="justify" vertical="center"/>
    </xf>
    <xf numFmtId="0" fontId="1" fillId="0" borderId="1" xfId="0" applyFont="1" applyBorder="1" applyAlignment="1">
      <alignment horizontal="justify" vertical="center"/>
    </xf>
    <xf numFmtId="0" fontId="2" fillId="0" borderId="1" xfId="0" applyFont="1" applyBorder="1" applyAlignment="1">
      <alignment horizontal="right" vertical="center"/>
    </xf>
    <xf numFmtId="0" fontId="2" fillId="0" borderId="1" xfId="0" applyFont="1" applyBorder="1" applyAlignment="1">
      <alignment horizontal="justify" vertical="center"/>
    </xf>
    <xf numFmtId="0" fontId="20" fillId="11" borderId="1" xfId="0" applyFont="1" applyFill="1" applyBorder="1" applyAlignment="1">
      <alignment horizontal="justify" vertical="center"/>
    </xf>
    <xf numFmtId="0" fontId="1" fillId="11" borderId="1" xfId="0" applyFont="1" applyFill="1" applyBorder="1" applyAlignment="1">
      <alignment horizontal="right" vertical="center"/>
    </xf>
    <xf numFmtId="0" fontId="1" fillId="11" borderId="1" xfId="0" applyFont="1" applyFill="1" applyBorder="1" applyAlignment="1">
      <alignment horizontal="justify" vertical="center"/>
    </xf>
    <xf numFmtId="0" fontId="19" fillId="0" borderId="0" xfId="0" applyFont="1" applyAlignment="1">
      <alignment horizontal="justify" vertical="center"/>
    </xf>
    <xf numFmtId="0" fontId="1" fillId="0" borderId="0" xfId="0" applyFont="1" applyAlignment="1">
      <alignment vertical="center"/>
    </xf>
    <xf numFmtId="0" fontId="4" fillId="2" borderId="4" xfId="0" applyFont="1" applyFill="1" applyBorder="1" applyAlignment="1">
      <alignment vertical="center" wrapText="1"/>
    </xf>
    <xf numFmtId="0" fontId="6" fillId="0" borderId="0" xfId="3" applyFont="1" applyFill="1" applyBorder="1" applyAlignment="1">
      <alignment vertical="top" wrapText="1"/>
    </xf>
    <xf numFmtId="0" fontId="6" fillId="0" borderId="27" xfId="0" applyFont="1" applyBorder="1" applyAlignment="1">
      <alignment vertical="top"/>
    </xf>
    <xf numFmtId="1" fontId="0" fillId="0" borderId="0" xfId="0" applyNumberFormat="1"/>
    <xf numFmtId="0" fontId="0" fillId="0" borderId="0" xfId="0" applyAlignment="1">
      <alignment vertical="top"/>
    </xf>
    <xf numFmtId="0" fontId="6" fillId="0" borderId="0" xfId="0" applyFont="1" applyAlignment="1">
      <alignment vertical="top"/>
    </xf>
    <xf numFmtId="0" fontId="0" fillId="0" borderId="0" xfId="0" applyAlignment="1">
      <alignment horizontal="left"/>
    </xf>
    <xf numFmtId="1" fontId="0" fillId="0" borderId="0" xfId="0" applyNumberFormat="1" applyAlignment="1">
      <alignment horizontal="right"/>
    </xf>
    <xf numFmtId="0" fontId="5" fillId="0" borderId="0" xfId="0" applyFont="1"/>
    <xf numFmtId="3" fontId="0" fillId="0" borderId="0" xfId="0" applyNumberFormat="1"/>
    <xf numFmtId="3" fontId="5" fillId="0" borderId="22" xfId="0" applyNumberFormat="1" applyFont="1" applyBorder="1" applyAlignment="1">
      <alignment vertical="center" wrapText="1"/>
    </xf>
    <xf numFmtId="0" fontId="0" fillId="0" borderId="0" xfId="0" applyAlignment="1">
      <alignment horizontal="center"/>
    </xf>
    <xf numFmtId="4" fontId="0" fillId="0" borderId="0" xfId="0" applyNumberFormat="1"/>
    <xf numFmtId="0" fontId="21" fillId="13" borderId="0" xfId="0" applyFont="1" applyFill="1" applyAlignment="1">
      <alignment horizontal="center"/>
    </xf>
    <xf numFmtId="4" fontId="0" fillId="0" borderId="29" xfId="0" applyNumberFormat="1" applyBorder="1"/>
    <xf numFmtId="4" fontId="0" fillId="0" borderId="24" xfId="0" applyNumberFormat="1" applyBorder="1"/>
    <xf numFmtId="0" fontId="21" fillId="13" borderId="33" xfId="0" applyFont="1" applyFill="1" applyBorder="1" applyAlignment="1">
      <alignment horizontal="center"/>
    </xf>
    <xf numFmtId="0" fontId="0" fillId="0" borderId="33" xfId="0" applyBorder="1" applyAlignment="1">
      <alignment horizontal="center"/>
    </xf>
    <xf numFmtId="0" fontId="21" fillId="13" borderId="34" xfId="0" applyFont="1" applyFill="1" applyBorder="1" applyAlignment="1">
      <alignment horizontal="center"/>
    </xf>
    <xf numFmtId="0" fontId="0" fillId="0" borderId="34" xfId="0" applyBorder="1" applyAlignment="1">
      <alignment horizontal="center"/>
    </xf>
    <xf numFmtId="4" fontId="2" fillId="0" borderId="22" xfId="0" applyNumberFormat="1" applyFont="1" applyBorder="1" applyAlignment="1">
      <alignment vertical="center" wrapText="1"/>
    </xf>
    <xf numFmtId="0" fontId="4" fillId="2" borderId="21" xfId="0" applyFont="1" applyFill="1" applyBorder="1" applyAlignment="1">
      <alignment vertical="center" wrapText="1"/>
    </xf>
    <xf numFmtId="0" fontId="3" fillId="2" borderId="8" xfId="0" applyFont="1" applyFill="1" applyBorder="1" applyAlignment="1">
      <alignment vertical="center" wrapText="1"/>
    </xf>
    <xf numFmtId="0" fontId="3" fillId="2" borderId="21" xfId="0" applyFont="1" applyFill="1" applyBorder="1" applyAlignment="1">
      <alignment vertical="center" wrapText="1"/>
    </xf>
    <xf numFmtId="0" fontId="2" fillId="0" borderId="21" xfId="0" applyFont="1" applyBorder="1" applyAlignment="1">
      <alignment vertical="center" wrapText="1"/>
    </xf>
    <xf numFmtId="164" fontId="2" fillId="0" borderId="21" xfId="0" applyNumberFormat="1" applyFont="1" applyBorder="1" applyAlignment="1">
      <alignment vertical="center" wrapText="1"/>
    </xf>
    <xf numFmtId="0" fontId="3" fillId="2" borderId="11" xfId="0" applyFont="1" applyFill="1" applyBorder="1" applyAlignment="1">
      <alignment vertical="center" wrapText="1"/>
    </xf>
    <xf numFmtId="0" fontId="1" fillId="0" borderId="12" xfId="0" applyFont="1" applyBorder="1" applyAlignment="1">
      <alignment horizontal="center" vertical="center" wrapText="1"/>
    </xf>
    <xf numFmtId="0" fontId="1" fillId="0" borderId="20" xfId="0" applyFont="1" applyBorder="1" applyAlignment="1">
      <alignment horizontal="center" vertical="top" wrapText="1"/>
    </xf>
    <xf numFmtId="0" fontId="13" fillId="0" borderId="0" xfId="1"/>
    <xf numFmtId="0" fontId="1" fillId="0" borderId="5" xfId="0" applyFont="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1" fillId="0" borderId="10" xfId="0" applyFont="1" applyBorder="1" applyAlignment="1">
      <alignment vertical="center" wrapText="1"/>
    </xf>
    <xf numFmtId="0" fontId="2" fillId="0" borderId="10" xfId="0" applyFont="1" applyBorder="1" applyAlignment="1">
      <alignment vertical="center"/>
    </xf>
    <xf numFmtId="0" fontId="1" fillId="0" borderId="1" xfId="0" applyFont="1" applyBorder="1" applyAlignment="1">
      <alignment vertical="center" wrapText="1"/>
    </xf>
    <xf numFmtId="0" fontId="2" fillId="0" borderId="1" xfId="0" applyFont="1" applyBorder="1" applyAlignment="1">
      <alignment vertical="center"/>
    </xf>
    <xf numFmtId="0" fontId="1" fillId="0" borderId="7" xfId="0" applyFont="1" applyBorder="1" applyAlignment="1">
      <alignment vertical="center" wrapText="1"/>
    </xf>
    <xf numFmtId="0" fontId="2" fillId="0" borderId="7" xfId="0" applyFont="1" applyBorder="1" applyAlignment="1">
      <alignment vertical="center"/>
    </xf>
    <xf numFmtId="3" fontId="2" fillId="0" borderId="23" xfId="0" applyNumberFormat="1" applyFont="1" applyBorder="1" applyAlignment="1">
      <alignment vertical="center" wrapText="1"/>
    </xf>
    <xf numFmtId="0" fontId="1" fillId="6" borderId="25" xfId="0" applyFont="1" applyFill="1" applyBorder="1" applyAlignment="1">
      <alignment horizontal="center"/>
    </xf>
    <xf numFmtId="0" fontId="1" fillId="6" borderId="22" xfId="0" applyFont="1" applyFill="1" applyBorder="1" applyAlignment="1">
      <alignment horizontal="center"/>
    </xf>
    <xf numFmtId="0" fontId="1" fillId="6" borderId="26" xfId="0" applyFont="1" applyFill="1" applyBorder="1" applyAlignment="1">
      <alignment horizontal="center"/>
    </xf>
    <xf numFmtId="0" fontId="1" fillId="6" borderId="6" xfId="0" applyFont="1" applyFill="1" applyBorder="1" applyAlignment="1">
      <alignment horizontal="center"/>
    </xf>
    <xf numFmtId="0" fontId="1" fillId="6" borderId="3" xfId="0" applyFont="1" applyFill="1" applyBorder="1" applyAlignment="1">
      <alignment horizontal="center"/>
    </xf>
    <xf numFmtId="0" fontId="1" fillId="3" borderId="25" xfId="0" applyFont="1" applyFill="1" applyBorder="1" applyAlignment="1">
      <alignment horizontal="center" wrapText="1"/>
    </xf>
    <xf numFmtId="0" fontId="1" fillId="3" borderId="22" xfId="0" applyFont="1" applyFill="1" applyBorder="1" applyAlignment="1">
      <alignment horizontal="center" wrapText="1"/>
    </xf>
    <xf numFmtId="0" fontId="1" fillId="3" borderId="26" xfId="0" applyFont="1" applyFill="1" applyBorder="1" applyAlignment="1">
      <alignment horizontal="center" wrapText="1"/>
    </xf>
    <xf numFmtId="0" fontId="1" fillId="5" borderId="6" xfId="0" applyFont="1" applyFill="1" applyBorder="1" applyAlignment="1">
      <alignment horizontal="center"/>
    </xf>
    <xf numFmtId="0" fontId="1" fillId="5" borderId="3" xfId="0" applyFont="1" applyFill="1" applyBorder="1" applyAlignment="1">
      <alignment horizontal="center"/>
    </xf>
    <xf numFmtId="0" fontId="1" fillId="7" borderId="15"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3" borderId="6" xfId="0" applyFont="1" applyFill="1" applyBorder="1" applyAlignment="1">
      <alignment horizontal="center" wrapText="1"/>
    </xf>
    <xf numFmtId="0" fontId="1" fillId="3" borderId="3" xfId="0" applyFont="1" applyFill="1" applyBorder="1" applyAlignment="1">
      <alignment horizontal="center" wrapText="1"/>
    </xf>
    <xf numFmtId="0" fontId="1" fillId="5" borderId="25" xfId="0" applyFont="1" applyFill="1" applyBorder="1" applyAlignment="1">
      <alignment horizontal="center"/>
    </xf>
    <xf numFmtId="0" fontId="1" fillId="5" borderId="22" xfId="0" applyFont="1" applyFill="1" applyBorder="1" applyAlignment="1">
      <alignment horizontal="center"/>
    </xf>
    <xf numFmtId="0" fontId="1" fillId="5" borderId="26" xfId="0" applyFont="1" applyFill="1" applyBorder="1" applyAlignment="1">
      <alignment horizontal="center"/>
    </xf>
    <xf numFmtId="0" fontId="2" fillId="0" borderId="28" xfId="0" applyFont="1" applyBorder="1" applyAlignment="1">
      <alignment horizontal="center"/>
    </xf>
    <xf numFmtId="0" fontId="2" fillId="0" borderId="0" xfId="0" applyFont="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1" fillId="0" borderId="0" xfId="0" applyFont="1" applyAlignment="1">
      <alignment horizontal="center"/>
    </xf>
    <xf numFmtId="0" fontId="21" fillId="13" borderId="0" xfId="0" applyFont="1" applyFill="1" applyAlignment="1">
      <alignment horizontal="center" vertical="center"/>
    </xf>
    <xf numFmtId="0" fontId="21" fillId="13" borderId="33" xfId="0" applyFont="1" applyFill="1" applyBorder="1" applyAlignment="1">
      <alignment horizontal="center" vertical="center"/>
    </xf>
    <xf numFmtId="0" fontId="21" fillId="13" borderId="34" xfId="0" applyFont="1" applyFill="1" applyBorder="1" applyAlignment="1">
      <alignment horizontal="center" vertical="center"/>
    </xf>
    <xf numFmtId="0" fontId="21" fillId="13" borderId="0" xfId="0" applyFont="1" applyFill="1" applyAlignment="1">
      <alignment horizontal="center"/>
    </xf>
    <xf numFmtId="0" fontId="8" fillId="0" borderId="1" xfId="0" applyFont="1" applyBorder="1" applyAlignment="1">
      <alignment horizontal="center" vertical="center" wrapText="1"/>
    </xf>
    <xf numFmtId="0" fontId="0" fillId="4" borderId="21" xfId="0" applyFill="1" applyBorder="1" applyAlignment="1">
      <alignment horizontal="center" vertical="center"/>
    </xf>
  </cellXfs>
  <cellStyles count="4">
    <cellStyle name="60% - Accent5" xfId="3" builtinId="48"/>
    <cellStyle name="Comma" xfId="2" builtinId="3"/>
    <cellStyle name="Hyperlink" xfId="1" builtinId="8"/>
    <cellStyle name="Normal" xfId="0" builtinId="0"/>
  </cellStyles>
  <dxfs count="67">
    <dxf>
      <numFmt numFmtId="4" formatCode="#,##0.00"/>
      <border diagonalUp="0" diagonalDown="0">
        <left/>
        <right style="medium">
          <color auto="1"/>
        </right>
        <top/>
        <bottom/>
        <vertical/>
        <horizontal/>
      </border>
    </dxf>
    <dxf>
      <numFmt numFmtId="4" formatCode="#,##0.00"/>
      <border diagonalUp="0" diagonalDown="0">
        <left style="medium">
          <color auto="1"/>
        </left>
        <right/>
        <top/>
        <bottom/>
        <vertical/>
        <horizontal/>
      </border>
    </dxf>
    <dxf>
      <numFmt numFmtId="4" formatCode="#,##0.00"/>
    </dxf>
    <dxf>
      <numFmt numFmtId="4" formatCode="#,##0.00"/>
    </dxf>
    <dxf>
      <numFmt numFmtId="4" formatCode="#,##0.00"/>
      <border diagonalUp="0" diagonalDown="0">
        <left/>
        <right style="medium">
          <color auto="1"/>
        </right>
        <top/>
        <bottom/>
        <vertical/>
        <horizontal/>
      </border>
    </dxf>
    <dxf>
      <numFmt numFmtId="4" formatCode="#,##0.00"/>
      <border diagonalUp="0" diagonalDown="0">
        <left style="medium">
          <color auto="1"/>
        </left>
        <right/>
        <top/>
        <bottom/>
        <vertical/>
        <horizontal/>
      </border>
    </dxf>
    <dxf>
      <numFmt numFmtId="4" formatCode="#,##0.00"/>
    </dxf>
    <dxf>
      <numFmt numFmtId="4" formatCode="#,##0.00"/>
    </dxf>
    <dxf>
      <alignment horizontal="center" vertical="bottom" textRotation="0" wrapText="0" indent="0" justifyLastLine="0" shrinkToFit="0" readingOrder="0"/>
    </dxf>
    <dxf>
      <fill>
        <patternFill patternType="none">
          <fgColor indexed="64"/>
          <bgColor indexed="65"/>
        </patternFill>
      </fill>
    </dxf>
    <dxf>
      <numFmt numFmtId="1" formatCode="0"/>
      <fill>
        <patternFill patternType="none">
          <fgColor indexed="64"/>
          <bgColor auto="1"/>
        </patternFill>
      </fill>
    </dxf>
    <dxf>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fill>
        <patternFill patternType="none">
          <fgColor indexed="64"/>
          <bgColor indexed="65"/>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top" textRotation="0" indent="0" justifyLastLine="0" shrinkToFit="0" readingOrder="0"/>
      <border diagonalUp="0" diagonalDown="0" outline="0">
        <left style="medium">
          <color indexed="64"/>
        </left>
        <right style="medium">
          <color indexed="64"/>
        </right>
        <top/>
        <bottom/>
      </border>
    </dxf>
    <dxf>
      <numFmt numFmtId="3" formatCode="#,##0"/>
    </dxf>
    <dxf>
      <numFmt numFmtId="3" formatCode="#,##0"/>
    </dxf>
    <dxf>
      <numFmt numFmtId="3" formatCode="#,##0"/>
    </dxf>
    <dxf>
      <numFmt numFmtId="3" formatCode="#,##0"/>
    </dxf>
    <dxf>
      <numFmt numFmtId="3" formatCode="#,##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arl Kupits" id="{EF76EEB5-D862-48AC-B346-097BFED9F2F3}" userId="S::karl@maves.ee::28ec2c9f-5a0e-4964-a829-9fa20f886de0" providerId="AD"/>
  <person displayName="Kadri Normak" id="{416736C3-B641-4946-9A8C-7019FC44F3C9}" userId="S::kadri@maves.ee::4bf6f874-6b7d-45f9-a77a-2d18a66b82b8" providerId="AD"/>
  <person displayName="Tuuli Vreimann" id="{D362DD2C-F34B-4246-BAAB-C0D11409F4F9}" userId="S::tuuli@maves.ee::4cdb2de6-6f4d-4888-99b1-6c36a3e963c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8472A7-2991-458C-A703-B09E4D0D8DB4}" name="Table1" displayName="Table1" ref="A2:J32" totalsRowShown="0" headerRowDxfId="66" dataDxfId="65">
  <autoFilter ref="A2:J32" xr:uid="{D28472A7-2991-458C-A703-B09E4D0D8DB4}"/>
  <tableColumns count="10">
    <tableColumn id="1" xr3:uid="{02922FFF-0089-4BE0-BB56-266F0F81EE75}" name="Energiaallikas" dataDxfId="64"/>
    <tableColumn id="10" xr3:uid="{2520D1FE-03E2-4D00-90A2-B7B027B17D0E}" name="ühik" dataDxfId="63"/>
    <tableColumn id="2" xr3:uid="{4F1387EA-8E37-410B-ADA9-E095D9EFB9CE}" name="Olemasolev võimsus 2020" dataDxfId="62"/>
    <tableColumn id="3" xr3:uid="{872F290C-2075-4E42-B1F8-5116304888C6}" name="taastuvenergia ja salvestus (avamere tuuleenergia)" dataDxfId="61"/>
    <tableColumn id="4" xr3:uid="{543A9725-678E-4A06-A782-0BF4B34F98B4}" name="tuumaenergia" dataDxfId="60"/>
    <tableColumn id="5" xr3:uid="{4D085441-C459-44B6-8132-7213FDC94099}" name="süsiniku püüdmine ja kasutamine (CCU)" dataDxfId="59"/>
    <tableColumn id="6" xr3:uid="{D189E7A9-ABB8-4B60-A1BE-3096759E37C5}" name="taastuvgaas" dataDxfId="58"/>
    <tableColumn id="7" xr3:uid="{E0DC598F-FF43-459E-A3C4-574044A6CCBB}" name="kõik tehnoloogiad" dataDxfId="57"/>
    <tableColumn id="8" xr3:uid="{D732F569-5E25-417E-BD79-145959FA5DA6}" name="netoimpordita stsenaarium" dataDxfId="56"/>
    <tableColumn id="9" xr3:uid="{FBC7ED34-7A28-4D85-8D03-21ADE514A9F9}" name="1000 MW juhitav võimsus" dataDxfId="5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C5DEDD-58C4-47E1-A52D-B258D2F01BBA}" name="Table2" displayName="Table2" ref="A2:F8" totalsRowShown="0" headerRowDxfId="54">
  <autoFilter ref="A2:F8" xr:uid="{7DC5DEDD-58C4-47E1-A52D-B258D2F01BBA}"/>
  <tableColumns count="6">
    <tableColumn id="1" xr3:uid="{003E90F9-D9FA-4F42-A734-361939DC3F5C}" name="Energiaallikas"/>
    <tableColumn id="2" xr3:uid="{4F3DE69C-B782-4017-8C82-02B5A7E74A7C}" name="BAU" dataDxfId="53"/>
    <tableColumn id="3" xr3:uid="{5287A78E-F53E-4BF5-AF19-CB384C0FA5A7}" name="Elekter" dataDxfId="52"/>
    <tableColumn id="4" xr3:uid="{3B02E146-1ECA-4923-A788-4575FED0C864}" name="Kaugküte" dataDxfId="51"/>
    <tableColumn id="5" xr3:uid="{1F06ECB5-EA25-4D0A-8C2B-C906730041EB}" name="Lokaalküte" dataDxfId="50"/>
    <tableColumn id="6" xr3:uid="{03ED45F4-E56E-43C8-A00E-65FCF60F3F7D}" name="Tehnoloogia-neutraalne" dataDxfId="49"/>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A035B32-F978-4A29-A560-77275ACF1341}" name="Tabel1" displayName="Tabel1" ref="A15:S140" totalsRowCount="1" headerRowDxfId="48" dataDxfId="47">
  <autoFilter ref="A15:S139" xr:uid="{5A035B32-F978-4A29-A560-77275ACF1341}"/>
  <sortState xmlns:xlrd2="http://schemas.microsoft.com/office/spreadsheetml/2017/richdata2" ref="A16:Q139">
    <sortCondition descending="1" ref="B15:B139"/>
  </sortState>
  <tableColumns count="19">
    <tableColumn id="1" xr3:uid="{4CC50400-AFD5-4135-86B0-28970C728EBE}" name="Veerg1" totalsRowLabel="Total" dataDxfId="46" totalsRowDxfId="45"/>
    <tableColumn id="2" xr3:uid="{D8180FA0-4C2B-41DD-A7B5-193846F4036C}" name="HEATING" dataDxfId="44" totalsRowDxfId="43"/>
    <tableColumn id="3" xr3:uid="{69BF6349-A7E5-4C89-96D3-522ADFA4F6C1}" name="All electric GWh" totalsRowFunction="sum" dataDxfId="42" totalsRowDxfId="41"/>
    <tableColumn id="8" xr3:uid="{0D81BB33-F108-47FE-888D-6B8BDC8F8EC7}" name="All electric MW" totalsRowFunction="sum" dataDxfId="40" totalsRowDxfId="39"/>
    <tableColumn id="9" xr3:uid="{81EAC8BB-F5B4-4BFA-A989-2034FDE950C6}" name="All electric units" totalsRowFunction="sum" dataDxfId="38" totalsRowDxfId="37"/>
    <tableColumn id="4" xr3:uid="{98B9CBAB-D0F9-4819-81D9-291C5EB56D25}" name="LHC GWh" totalsRowFunction="sum" dataDxfId="36" totalsRowDxfId="35"/>
    <tableColumn id="10" xr3:uid="{2CE129E7-3D1B-4EAF-8E6A-E4F52689D060}" name="LHC MW" totalsRowFunction="sum" dataDxfId="34" totalsRowDxfId="33"/>
    <tableColumn id="11" xr3:uid="{CD53EE60-8AC1-4244-AFA8-420F3A7C1352}" name="LHC units" totalsRowFunction="sum" dataDxfId="32" totalsRowDxfId="31"/>
    <tableColumn id="5" xr3:uid="{4A596DE6-6AC8-4887-A502-9F2C5FEA18D8}" name="DHC GWh" totalsRowFunction="sum" dataDxfId="30" totalsRowDxfId="29"/>
    <tableColumn id="13" xr3:uid="{4BCD1988-D965-45D4-8009-B44A30B5A2F1}" name="DHC MW" totalsRowFunction="sum" dataDxfId="28" totalsRowDxfId="27"/>
    <tableColumn id="12" xr3:uid="{1E8CFF91-FA1D-4B8A-8596-D3547976A217}" name="DHC units" totalsRowFunction="sum" dataDxfId="26" totalsRowDxfId="25"/>
    <tableColumn id="6" xr3:uid="{1E71AE6F-3B11-45FA-8B96-817F4DC09ABD}" name="BAU GWh" totalsRowFunction="sum" dataDxfId="24" totalsRowDxfId="23"/>
    <tableColumn id="15" xr3:uid="{ADC5AA41-7CFB-4F2C-9FFA-FE84BA51DA16}" name="BAU MW" totalsRowFunction="sum" dataDxfId="22" totalsRowDxfId="21"/>
    <tableColumn id="14" xr3:uid="{42C23CDD-2BF7-43BA-AB78-51FED36DD89E}" name="BAU units" totalsRowFunction="sum" dataDxfId="20" totalsRowDxfId="19"/>
    <tableColumn id="7" xr3:uid="{7B883E3E-94A9-409A-8D09-3B48B5299868}" name="Technology Neutral GWh" totalsRowFunction="sum" dataDxfId="18" totalsRowDxfId="17"/>
    <tableColumn id="16" xr3:uid="{798CB8F8-C486-4DF0-9D32-74243D96D66D}" name="Technology Neutral MW" totalsRowFunction="sum" dataDxfId="16" totalsRowDxfId="15"/>
    <tableColumn id="17" xr3:uid="{3775F4B2-6CDC-4DDB-83B9-5DB5DDB1124D}" name="Technology Neutral units" totalsRowFunction="sum" dataDxfId="14" totalsRowDxfId="13"/>
    <tableColumn id="18" xr3:uid="{1B8D0B66-7E66-4758-A286-3E8F73977C61}" name="põletamine" totalsRowFunction="count" dataDxfId="12" totalsRowDxfId="11"/>
    <tableColumn id="19" xr3:uid="{2DCBD8D3-1FDD-44E3-8B24-CE2B2D1B8FD1}" name="soojuspump" dataDxfId="10" totalsRowDxfId="9"/>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8D7860-2B7B-4F6B-B368-4468DA5B5D49}" name="Table4" displayName="Table4" ref="A4:I14" totalsRowShown="0" headerRowDxfId="8">
  <autoFilter ref="A4:I14" xr:uid="{828D7860-2B7B-4F6B-B368-4468DA5B5D49}"/>
  <tableColumns count="9">
    <tableColumn id="1" xr3:uid="{A3FCC744-4AD0-4CBA-9BC9-562F909FA477}" name="Column1"/>
    <tableColumn id="2" xr3:uid="{1D72D59F-46F9-45D6-A182-466998805DD8}" name="1" dataDxfId="7"/>
    <tableColumn id="3" xr3:uid="{FCFE9F95-57F1-4524-94D5-E1F28603F014}" name="2" dataDxfId="6"/>
    <tableColumn id="4" xr3:uid="{6FF0A499-5249-4666-83F2-234591B61A9F}" name="3" dataDxfId="5"/>
    <tableColumn id="5" xr3:uid="{7AEF7DC3-447B-457E-9D2E-8652163AEA9C}" name="4" dataDxfId="4"/>
    <tableColumn id="6" xr3:uid="{33DFEE3F-418D-4DA7-808B-73F6290AF2D3}" name="5" dataDxfId="3"/>
    <tableColumn id="7" xr3:uid="{F8D79CE5-98F8-4C24-B8B9-FD8912C53D2C}" name="6" dataDxfId="2"/>
    <tableColumn id="8" xr3:uid="{E33BA42C-6AC2-4C6A-880C-E6AF5F6B0505}" name="7" dataDxfId="1"/>
    <tableColumn id="9" xr3:uid="{125A64F5-304D-4DCB-9CA6-D80E24C1391E}" name="8"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6" dT="2024-02-29T09:33:46.81" personId="{EF76EEB5-D862-48AC-B346-097BFED9F2F3}" id="{0ED3B86F-C933-45D7-850E-2692A7BD605D}">
    <text>Allikas: 
Demurtas, A., Cheikh, N., Smith, M., Rademaekers, K., Suik, K., Tammiste, L., 2022. Transitioning to a climate-neutral lectricity generation in Estonia Deliverable 7 Report Action plan Final Report. Trinomics</text>
  </threadedComment>
  <threadedComment ref="I6" dT="2024-02-29T09:42:54.77" personId="{EF76EEB5-D862-48AC-B346-097BFED9F2F3}" id="{0AE2C60D-5B6F-4400-B0D6-F37078F9A0D8}">
    <text>Demurtas, A., Cheikh, N., Smith, M., Rademaekers, K., Suik, K., Tammiste, L., 2022. Transitioning to a climate-neutral lectricity generation in Estonia Deliverable 7 Report Action plan Final Report. Trinomics</text>
  </threadedComment>
  <threadedComment ref="J6" dT="2024-02-29T09:43:20.18" personId="{EF76EEB5-D862-48AC-B346-097BFED9F2F3}" id="{F63C7848-544E-4861-898B-36D2FA4B541A}">
    <text>Demurtas, A., Cheikh, N., Smith, M., Rademaekers, K., Suik, K., Tammiste, L., 2022. Transitioning to a climate-neutral lectricity generation in Estonia Deliverable 7 Report Action plan Final Report. Trinomics</text>
  </threadedComment>
  <threadedComment ref="K6" dT="2024-02-29T09:43:16.92" personId="{EF76EEB5-D862-48AC-B346-097BFED9F2F3}" id="{B212ABF0-62BD-4302-BCB5-A2272173C3EB}">
    <text>Demurtas, A., Cheikh, N., Smith, M., Rademaekers, K., Suik, K., Tammiste, L., 2022. Transitioning to a climate-neutral lectricity generation in Estonia Deliverable 7 Report Action plan Final Report. Trinomics</text>
  </threadedComment>
  <threadedComment ref="L6" dT="2024-02-29T09:43:13.48" personId="{EF76EEB5-D862-48AC-B346-097BFED9F2F3}" id="{6DE1025A-39DB-4FF9-9867-8F5833469A46}">
    <text>Demurtas, A., Cheikh, N., Smith, M., Rademaekers, K., Suik, K., Tammiste, L., 2022. Transitioning to a climate-neutral lectricity generation in Estonia Deliverable 7 Report Action plan Final Report. Trinomics</text>
  </threadedComment>
  <threadedComment ref="M6" dT="2024-02-29T09:43:09.95" personId="{EF76EEB5-D862-48AC-B346-097BFED9F2F3}" id="{3C506CB9-532F-43B5-BA54-1521834D2F37}">
    <text>Demurtas, A., Cheikh, N., Smith, M., Rademaekers, K., Suik, K., Tammiste, L., 2022. Transitioning to a climate-neutral lectricity generation in Estonia Deliverable 7 Report Action plan Final Report. Trinomics</text>
  </threadedComment>
  <threadedComment ref="N6" dT="2024-02-29T09:43:05.58" personId="{EF76EEB5-D862-48AC-B346-097BFED9F2F3}" id="{B261FDFA-A836-4847-AC7F-DC547D321740}">
    <text>Demurtas, A., Cheikh, N., Smith, M., Rademaekers, K., Suik, K., Tammiste, L., 2022. Transitioning to a climate-neutral lectricity generation in Estonia Deliverable 7 Report Action plan Final Report. Trinomics</text>
  </threadedComment>
  <threadedComment ref="O6" dT="2024-02-29T09:43:01.57" personId="{EF76EEB5-D862-48AC-B346-097BFED9F2F3}" id="{C30B3E9B-F775-4458-B7BF-7A138857AA63}">
    <text>Demurtas, A., Cheikh, N., Smith, M., Rademaekers, K., Suik, K., Tammiste, L., 2022. Transitioning to a climate-neutral lectricity generation in Estonia Deliverable 7 Report Action plan Final Report. Trinomics</text>
  </threadedComment>
  <threadedComment ref="P6" dT="2024-02-29T11:52:38.78" personId="{EF76EEB5-D862-48AC-B346-097BFED9F2F3}" id="{121C2342-2DE6-4956-BD6B-BB394A0271E4}">
    <text>Tänapäeval kasutatav F gaas on R-32. Selle kogust soojuse tootmismahu kaudu hinnata ei ole võimalik. Teatava indikatsiooni annavad erinevates stsenaariumites kasutatud soojuspumpade tootmismahud.</text>
  </threadedComment>
  <threadedComment ref="D9" dT="2023-03-30T07:49:36.94" personId="{EF76EEB5-D862-48AC-B346-097BFED9F2F3}" id="{D1FE20AB-2515-46CA-A69C-4F643EBFD5AE}">
    <text>Happevihmad on happeid tekitavad sademed. Happevihmad moodustuvad, kui mitmesugused saasteained (SO2, NOx, NH3) lahustuvad vihmavees ning tekitavad happeid.</text>
  </threadedComment>
  <threadedComment ref="H10" dT="2024-02-29T09:36:58.72" personId="{EF76EEB5-D862-48AC-B346-097BFED9F2F3}" id="{8C9D7169-A0C1-4C5C-844A-F333E4D70985}">
    <text>Ringleva materjali määr ei ole usutavalt prognoositav.</text>
  </threadedComment>
  <threadedComment ref="I10" dT="2024-02-29T09:36:58.72" personId="{EF76EEB5-D862-48AC-B346-097BFED9F2F3}" id="{24593908-0362-4F4B-B90E-BC68B4FC4DD1}">
    <text>Ringleva materjali määr ei ole usutavalt prognoositav.</text>
  </threadedComment>
  <threadedComment ref="J10" dT="2024-02-29T09:36:58.72" personId="{EF76EEB5-D862-48AC-B346-097BFED9F2F3}" id="{F82173B2-F58F-4680-9B91-A7C94118976C}">
    <text>Ringleva materjali määr ei ole usutavalt prognoositav.</text>
  </threadedComment>
  <threadedComment ref="K10" dT="2024-02-29T09:36:58.72" personId="{EF76EEB5-D862-48AC-B346-097BFED9F2F3}" id="{7B68E140-A6A3-4377-A46A-AFCDE9E7C7F1}">
    <text>Ringleva materjali määr ei ole usutavalt prognoositav.</text>
  </threadedComment>
  <threadedComment ref="L10" dT="2024-02-29T09:36:58.72" personId="{EF76EEB5-D862-48AC-B346-097BFED9F2F3}" id="{FCED6145-0ED8-4DC5-BBE3-7AC60F04CB30}">
    <text>Ringleva materjali määr ei ole usutavalt prognoositav.</text>
  </threadedComment>
  <threadedComment ref="M10" dT="2024-02-29T09:36:58.72" personId="{EF76EEB5-D862-48AC-B346-097BFED9F2F3}" id="{DFE8BEC7-E463-4C0D-9507-C75F3AE43EA0}">
    <text>Ringleva materjali määr ei ole usutavalt prognoositav.</text>
  </threadedComment>
  <threadedComment ref="N10" dT="2024-02-29T09:36:58.72" personId="{EF76EEB5-D862-48AC-B346-097BFED9F2F3}" id="{7624A59E-A11D-471A-83FA-A2FDE52FBF5F}">
    <text>Ringleva materjali määr ei ole usutavalt prognoositav.</text>
  </threadedComment>
  <threadedComment ref="O10" dT="2024-02-29T09:36:58.72" personId="{EF76EEB5-D862-48AC-B346-097BFED9F2F3}" id="{2D93227A-08BF-4B67-BA1C-30C381AFEBC2}">
    <text>Ringleva materjali määr ei ole usutavalt prognoositav.</text>
  </threadedComment>
  <threadedComment ref="D11" dT="2023-03-30T07:47:10.48" personId="{EF76EEB5-D862-48AC-B346-097BFED9F2F3}" id="{A86135B7-057B-43BD-9B85-49361EB85011}">
    <text>Happevihmad on happeid tekitavad sademed. Happevihmad moodustuvad, kui mitmesugused saasteained (SO2, NOx, NH3) lahustuvad vihmavees ning tekitavad happeid.</text>
  </threadedComment>
  <threadedComment ref="H11" dT="2024-02-29T11:14:49.98" personId="{EF76EEB5-D862-48AC-B346-097BFED9F2F3}" id="{2DA14A2A-F497-4155-A877-312435224B97}">
    <text>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ext>
  </threadedComment>
  <threadedComment ref="I11" dT="2024-02-29T11:15:07.86" personId="{EF76EEB5-D862-48AC-B346-097BFED9F2F3}" id="{C98B8AEE-A6C6-4C1D-B5AD-56F97E7D00A7}">
    <text>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ext>
  </threadedComment>
  <threadedComment ref="J11" dT="2024-02-29T11:15:23.23" personId="{EF76EEB5-D862-48AC-B346-097BFED9F2F3}" id="{72686EDE-AD2C-4AA9-AB0F-F71E68B3F1A2}">
    <text>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ext>
  </threadedComment>
  <threadedComment ref="K11" dT="2024-02-29T11:15:42.65" personId="{EF76EEB5-D862-48AC-B346-097BFED9F2F3}" id="{59F6B12A-1C98-47AD-BB3B-D80C196D100E}">
    <text>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ext>
  </threadedComment>
  <threadedComment ref="L11" dT="2024-02-29T11:15:51.88" personId="{EF76EEB5-D862-48AC-B346-097BFED9F2F3}" id="{F5490259-BE39-4277-8694-8085D6C1C29B}">
    <text>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ext>
  </threadedComment>
  <threadedComment ref="M11" dT="2024-02-29T11:15:59.42" personId="{EF76EEB5-D862-48AC-B346-097BFED9F2F3}" id="{24DD1BD9-4AC4-49C6-95CD-F0278A05F953}">
    <text>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ext>
  </threadedComment>
  <threadedComment ref="N11" dT="2024-02-29T11:16:06.72" personId="{EF76EEB5-D862-48AC-B346-097BFED9F2F3}" id="{1607E5FF-F94B-4B4B-9B22-A1EA32E1CDD6}">
    <text>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ext>
  </threadedComment>
  <threadedComment ref="O11" dT="2024-02-29T11:16:13.29" personId="{EF76EEB5-D862-48AC-B346-097BFED9F2F3}" id="{DCC4E832-3BBC-4789-8BE2-01437232BF7D}">
    <text>Paremate andmete puudumisel on võetud aluseks andmed energeetikasektori (mitte üksnes elektri tootmise) kohta aastal 2020 lähtuvalt "Teatavate õhusaasteainete heitkoguste vähendamise riikliku programmi aastateks 2020-2030 ajakohastamine". Veergudes olevaid väärtusi tuleb võtta suhtarvudena, mitte absoluutväärtustena.</text>
  </threadedComment>
  <threadedComment ref="D12" dT="2023-03-30T07:47:26.09" personId="{EF76EEB5-D862-48AC-B346-097BFED9F2F3}" id="{48548DB0-762B-4E33-84F8-563DD96B06DB}">
    <text>Happevihmad on happeid tekitavad sademed. Happevihmad moodustuvad, kui mitmesugused saasteained (SO2, NOx, NH3) lahustuvad vihmavees ning tekitavad happeid.</text>
  </threadedComment>
  <threadedComment ref="H12" dT="2024-02-29T09:44:27.48" personId="{EF76EEB5-D862-48AC-B346-097BFED9F2F3}" id="{706FA423-2A9A-4EC4-A52D-CF6DCB3F6DFE}">
    <text>Andmed energeetikasektori kohta aastal 2020 lähtuvalt "Teatavate õhusaasteainete heitkoguste vähendamise riikliku programmi aastateks 2020-2030 ajakohastamine".</text>
  </threadedComment>
  <threadedComment ref="I12" dT="2024-02-29T09:44:57.70" personId="{EF76EEB5-D862-48AC-B346-097BFED9F2F3}" id="{B6297686-3DA5-4A5B-92A1-AF05D36871D4}">
    <text>Andmed energeetikasektori kohta aastal 2020 lähtuvalt "Teatavate õhusaasteainete heitkoguste vähendamise riikliku programmi aastateks 2020-2030 ajakohastamine".</text>
  </threadedComment>
  <threadedComment ref="J12" dT="2024-02-29T09:45:02.72" personId="{EF76EEB5-D862-48AC-B346-097BFED9F2F3}" id="{78D3E84A-1D22-44BD-956E-90E91D1C76DD}">
    <text>Andmed energeetikasektori kohta aastal 2020 lähtuvalt "Teatavate õhusaasteainete heitkoguste vähendamise riikliku programmi aastateks 2020-2030 ajakohastamine".</text>
  </threadedComment>
  <threadedComment ref="K12" dT="2024-02-29T09:45:30.28" personId="{EF76EEB5-D862-48AC-B346-097BFED9F2F3}" id="{0975698B-0C6E-4A53-8632-AE37BB8828D9}">
    <text>Andmed energeetikasektori kohta aastal 2020 lähtuvalt "Teatavate õhusaasteainete heitkoguste vähendamise riikliku programmi aastateks 2020-2030 ajakohastamine".</text>
  </threadedComment>
  <threadedComment ref="L12" dT="2024-02-29T09:45:26.30" personId="{EF76EEB5-D862-48AC-B346-097BFED9F2F3}" id="{E11CA33D-1010-4A50-A296-4ED5BEBD6310}">
    <text>Andmed energeetikasektori kohta aastal 2020 lähtuvalt "Teatavate õhusaasteainete heitkoguste vähendamise riikliku programmi aastateks 2020-2030 ajakohastamine".</text>
  </threadedComment>
  <threadedComment ref="M12" dT="2024-02-29T09:45:21.83" personId="{EF76EEB5-D862-48AC-B346-097BFED9F2F3}" id="{E49245DD-EB09-4261-9C64-89BE63CA1DB7}">
    <text>Andmed energeetikasektori kohta aastal 2020 lähtuvalt "Teatavate õhusaasteainete heitkoguste vähendamise riikliku programmi aastateks 2020-2030 ajakohastamine".</text>
  </threadedComment>
  <threadedComment ref="N12" dT="2024-02-29T09:45:16.99" personId="{EF76EEB5-D862-48AC-B346-097BFED9F2F3}" id="{CAF139D2-6D5E-4D6B-856A-E0AFD242E905}">
    <text>Andmed energeetikasektori kohta aastal 2020 lähtuvalt "Teatavate õhusaasteainete heitkoguste vähendamise riikliku programmi aastateks 2020-2030 ajakohastamine".</text>
  </threadedComment>
  <threadedComment ref="O12" dT="2024-02-29T09:45:08.48" personId="{EF76EEB5-D862-48AC-B346-097BFED9F2F3}" id="{577D51F2-E8CC-4128-AB9E-065FE6D0CCE5}">
    <text>Andmed energeetikasektori kohta aastal 2020 lähtuvalt "Teatavate õhusaasteainete heitkoguste vähendamise riikliku programmi aastateks 2020-2030 ajakohastamine".</text>
  </threadedComment>
  <threadedComment ref="V12" dT="2024-02-29T16:36:37.91" personId="{EF76EEB5-D862-48AC-B346-097BFED9F2F3}" id="{6F864941-1DB7-4361-AF56-8E43FBB03099}">
    <text xml:space="preserve">Biometaani tootmine ei põhjusta SO2 heidet:
KOTKAS - AVE v2.11.24 (envir.ee) 
KOTKAS - AVE v2.11.24 (envir.ee) 
KOTKAS - AVE v2.11.24 (envir.ee) 
KOTKAS - AVE v2.11.24 (envir.ee) 
</text>
    <extLst>
      <x:ext xmlns:xltc2="http://schemas.microsoft.com/office/spreadsheetml/2020/threadedcomments2" uri="{F7C98A9C-CBB3-438F-8F68-D28B6AF4A901}">
        <xltc2:checksum>3361121080</xltc2:checksum>
        <xltc2:hyperlink startIndex="44" length="32" url="https://kotkas.envir.ee/permits/public_detail_view?represented_id=&amp;search=1&amp;permit_nr=&amp;owner_name=Biometaan&amp;issue_date_start=&amp;issue_date_end=&amp;valid_start_date_start=&amp;valid_start_date_end=&amp;permit_status=ISSUED&amp;ehak_ac_long_id=&amp;db_ehak_label=&amp;object_name=&amp;permit_id=144811"/>
        <xltc2:hyperlink startIndex="78" length="32" url="https://kotkas.envir.ee/permits/public_detail_view?represented_id=&amp;search=1&amp;permit_nr=&amp;owner_name=Vinni%20Biogaas&amp;issue_date_start=&amp;issue_date_end=&amp;valid_start_date_start=&amp;valid_start_date_end=&amp;permit_status=ISSUED&amp;ehak_ac_long_id=&amp;db_ehak_label=&amp;object_name=&amp;permit_id=129553"/>
        <xltc2:hyperlink startIndex="112" length="32" url="https://kotkas.envir.ee/permits/public_detail_view?represented_id=&amp;search=1&amp;permit_nr=&amp;owner_name=Tartu%20Biogaas&amp;issue_date_start=&amp;issue_date_end=&amp;valid_start_date_start=&amp;valid_start_date_end=&amp;permit_status=ISSUED&amp;ehak_ac_long_id=&amp;db_ehak_label=&amp;object_name=&amp;permit_id=121131"/>
        <xltc2:hyperlink startIndex="146" length="32" url="https://kotkas.envir.ee/permits/public_detail_view?represented_id=&amp;search=1&amp;permit_nr=&amp;owner_name=Oisu%20Biogaas&amp;issue_date_start=&amp;issue_date_end=&amp;valid_start_date_start=&amp;valid_start_date_end=&amp;permit_status=ISSUED&amp;ehak_ac_long_id=&amp;db_ehak_label=&amp;object_name=&amp;permit_id=135802"/>
      </x:ext>
    </extLst>
  </threadedComment>
  <threadedComment ref="D13" dT="2023-03-30T07:47:31.19" personId="{EF76EEB5-D862-48AC-B346-097BFED9F2F3}" id="{61B99D28-7548-47B3-8DDB-16E47ECEED27}">
    <text>Happevihmad on happeid tekitavad sademed. Happevihmad moodustuvad, kui mitmesugused saasteained (SO2, NOx, NH3) lahustuvad vihmavees ning tekitavad happeid.</text>
  </threadedComment>
  <threadedComment ref="H13" dT="2024-02-29T07:43:25.44" personId="{EF76EEB5-D862-48AC-B346-097BFED9F2F3}" id="{C833B088-5C78-4333-BA6D-EE7F00C96592}">
    <text>Andmed energeetikasektori kohta aastal 2020 lähtuvalt "Teatavate õhusaasteainete heitkoguste vähendamise riikliku programmi aastateks 2020-2030 ajakohastamine".</text>
  </threadedComment>
  <threadedComment ref="I13" dT="2024-02-29T07:53:50.16" personId="{EF76EEB5-D862-48AC-B346-097BFED9F2F3}" id="{EC2784D7-5A7C-4ED3-8F8D-33DCCF3C9E99}">
    <text>Arvesse on võetud konkreetse stsenaariumi puhul kasutatavad põletustehnoloogiad ja need pandud võrdelisse seosesse hetkel põletamise heitkogusega.</text>
  </threadedComment>
  <threadedComment ref="J13" dT="2024-02-29T07:56:14.66" personId="{EF76EEB5-D862-48AC-B346-097BFED9F2F3}" id="{6FECD72D-EA3C-43B5-A4F2-3BE644C82665}">
    <text>Arvesse on võetud konkreetse stsenaariumi puhul kasutatavad põletustehnoloogiad ja need pandud võrdelisse seosesse hetkel põletamise heitkogusega.</text>
  </threadedComment>
  <threadedComment ref="K13" dT="2024-02-29T07:56:44.06" personId="{EF76EEB5-D862-48AC-B346-097BFED9F2F3}" id="{126E9EC7-02DA-40DA-9577-71B2B125E6D2}">
    <text>Arvesse on võetud konkreetse stsenaariumi puhul kasutatavad põletustehnoloogiad ja need pandud võrdelisse seosesse hetkel põletamise heitkogusega.</text>
  </threadedComment>
  <threadedComment ref="L13" dT="2024-02-29T07:56:39.59" personId="{EF76EEB5-D862-48AC-B346-097BFED9F2F3}" id="{2566677E-08A8-4374-8B82-9D86E686EFB3}">
    <text>Arvesse on võetud konkreetse stsenaariumi puhul kasutatavad põletustehnoloogiad ja need pandud võrdelisse seosesse hetkel põletamise heitkogusega.</text>
  </threadedComment>
  <threadedComment ref="M13" dT="2024-02-29T07:56:35.03" personId="{EF76EEB5-D862-48AC-B346-097BFED9F2F3}" id="{0AE48DDE-CE65-4C59-AF7C-7B5158974A92}">
    <text>Arvesse on võetud konkreetse stsenaariumi puhul kasutatavad põletustehnoloogiad ja need pandud võrdelisse seosesse hetkel põletamise heitkogusega.</text>
  </threadedComment>
  <threadedComment ref="N13" dT="2024-02-29T07:56:24.67" personId="{EF76EEB5-D862-48AC-B346-097BFED9F2F3}" id="{4ABEF343-DD98-40FA-A8CC-48C23239F6E2}">
    <text>Arvesse on võetud konkreetse stsenaariumi puhul kasutatavad põletustehnoloogiad ja need pandud võrdelisse seosesse hetkel põletamise heitkogusega.</text>
  </threadedComment>
  <threadedComment ref="O13" dT="2024-02-29T07:56:20.59" personId="{EF76EEB5-D862-48AC-B346-097BFED9F2F3}" id="{CAE352AC-60F0-4BCA-87C3-D42182DC9182}">
    <text>Arvesse on võetud konkreetse stsenaariumi puhul kasutatavad põletustehnoloogiad ja need pandud võrdelisse seosesse hetkel põletamise heitkogusega.</text>
  </threadedComment>
  <threadedComment ref="V13" dT="2024-02-29T16:26:24.12" personId="{EF76EEB5-D862-48AC-B346-097BFED9F2F3}" id="{76D35EAA-04EE-4785-A50A-32FD76A4C40F}">
    <text xml:space="preserve">Biometaani tootmine ei põhjusta NOx heidet:
KOTKAS - AVE v2.11.24 (envir.ee) 
KOTKAS - AVE v2.11.24 (envir.ee) 
KOTKAS - AVE v2.11.24 (envir.ee) 
KOTKAS - AVE v2.11.24 (envir.ee) </text>
    <extLst>
      <x:ext xmlns:xltc2="http://schemas.microsoft.com/office/spreadsheetml/2020/threadedcomments2" uri="{F7C98A9C-CBB3-438F-8F68-D28B6AF4A901}">
        <xltc2:checksum>3473056549</xltc2:checksum>
        <xltc2:hyperlink startIndex="44" length="32" url="https://kotkas.envir.ee/permits/public_detail_view?represented_id=&amp;search=1&amp;permit_nr=&amp;owner_name=Biometaan&amp;issue_date_start=&amp;issue_date_end=&amp;valid_start_date_start=&amp;valid_start_date_end=&amp;permit_status=ISSUED&amp;ehak_ac_long_id=&amp;db_ehak_label=&amp;object_name=&amp;permit_id=144811"/>
        <xltc2:hyperlink startIndex="78" length="32" url="https://kotkas.envir.ee/permits/public_detail_view?represented_id=&amp;search=1&amp;permit_nr=&amp;owner_name=Vinni%20Biogaas&amp;issue_date_start=&amp;issue_date_end=&amp;valid_start_date_start=&amp;valid_start_date_end=&amp;permit_status=ISSUED&amp;ehak_ac_long_id=&amp;db_ehak_label=&amp;object_name=&amp;permit_id=129553"/>
        <xltc2:hyperlink startIndex="112" length="32" url="https://kotkas.envir.ee/permits/public_detail_view?represented_id=&amp;search=1&amp;permit_nr=&amp;owner_name=Tartu%20Biogaas&amp;issue_date_start=&amp;issue_date_end=&amp;valid_start_date_start=&amp;valid_start_date_end=&amp;permit_status=ISSUED&amp;ehak_ac_long_id=&amp;db_ehak_label=&amp;object_name=&amp;permit_id=121131"/>
        <xltc2:hyperlink startIndex="146" length="32" url="https://kotkas.envir.ee/permits/public_detail_view?represented_id=&amp;search=1&amp;permit_nr=&amp;owner_name=Oisu%20Biogaas&amp;issue_date_start=&amp;issue_date_end=&amp;valid_start_date_start=&amp;valid_start_date_end=&amp;permit_status=ISSUED&amp;ehak_ac_long_id=&amp;db_ehak_label=&amp;object_name=&amp;permit_id=135802"/>
      </x:ext>
    </extLst>
  </threadedComment>
  <threadedComment ref="H14" dT="2024-02-28T11:25:16.54" personId="{D362DD2C-F34B-4246-BAAB-C0D11409F4F9}" id="{54BCB37D-DF85-4853-A617-2EAAB60375AB}">
    <text>Põlevkivijäätmete teke 2020. aastal miljonites tonnides Riigi jäätmekava andmetel (poolkoksi- ja fenoolvesi, lend- ja koldetuhk, aheraine)</text>
  </threadedComment>
  <threadedComment ref="I14" dT="2024-02-29T07:12:00.62" personId="{EF76EEB5-D862-48AC-B346-097BFED9F2F3}" id="{3F1A58A8-7D85-4D64-B44B-500CE1094086}">
    <text>Ei ole arvestatud ehitiste (tuulikud, päikesepaneelid jne) eluea lõpus tekkivate jäätmetega. See maht on pigem marginaalne. 
Jäätmeid tekib edaspidi põletamistehnoloogiate kasutamisel (tuhk).
Akude ja radioaktiivsete jäätmete kohta vt KSH  tekstiosa.</text>
  </threadedComment>
  <threadedComment ref="J14" dT="2024-02-29T07:12:00.62" personId="{EF76EEB5-D862-48AC-B346-097BFED9F2F3}" id="{A2AC5112-F2D4-49B4-8B38-A9B0457E48A7}">
    <text>Ei ole arvestatud ehitiste (tuulikud, päikesepaneelid jne) eluea lõpus tekkivate jäätmetega. See maht on pigem marginaalne. 
Jäätmeid tekib edaspidi põletamistehnoloogiate kasutamisel (tuhk).
Akude ja radioaktiivsete jäätmete kohta vt KSH  tekstiosa.</text>
  </threadedComment>
  <threadedComment ref="K14" dT="2024-02-29T07:12:00.62" personId="{EF76EEB5-D862-48AC-B346-097BFED9F2F3}" id="{6F7C3D90-753C-4C08-88B2-330AF1D56E9B}">
    <text>Ei ole arvestatud ehitiste (tuulikud, päikesepaneelid jne) eluea lõpus tekkivate jäätmetega. See maht on pigem marginaalne. 
Jäätmeid tekib edaspidi põletamistehnoloogiate kasutamisel (tuhk).
Akude ja radioaktiivsete jäätmete kohta vt KSH  tekstiosa.</text>
  </threadedComment>
  <threadedComment ref="L14" dT="2024-02-29T07:12:00.62" personId="{EF76EEB5-D862-48AC-B346-097BFED9F2F3}" id="{61EA6C48-AEF5-4C98-960C-C2856BAF3941}">
    <text>Ei ole arvestatud ehitiste (tuulikud, päikesepaneelid jne) eluea lõpus tekkivate jäätmetega. See maht on pigem marginaalne. 
Jäätmeid tekib edaspidi põletamistehnoloogiate kasutamisel (tuhk).
Akude ja radioaktiivsete jäätmete kohta vt KSH  tekstiosa.</text>
  </threadedComment>
  <threadedComment ref="M14" dT="2024-02-29T07:12:00.62" personId="{EF76EEB5-D862-48AC-B346-097BFED9F2F3}" id="{E2849815-B29F-41F3-9428-527CBEF3BF60}">
    <text>Ei ole arvestatud ehitiste (tuulikud, päikesepaneelid jne) eluea lõpus tekkivate jäätmetega. See maht on pigem marginaalne. 
Jäätmeid tekib edaspidi põletamistehnoloogiate kasutamisel (tuhk).
Akude ja radioaktiivsete jäätmete kohta vt KSH  tekstiosa.</text>
  </threadedComment>
  <threadedComment ref="N14" dT="2024-02-29T07:12:00.62" personId="{EF76EEB5-D862-48AC-B346-097BFED9F2F3}" id="{4C33A144-E49C-46C1-9E08-6415CBD5CD5F}">
    <text>Ei ole arvestatud ehitiste (tuulikud, päikesepaneelid jne) eluea lõpus tekkivate jäätmetega. See maht on pigem marginaalne. 
Jäätmeid tekib edaspidi põletamistehnoloogiate kasutamisel (tuhk).
Akude ja radioaktiivsete jäätmete kohta vt KSH  tekstiosa.</text>
  </threadedComment>
  <threadedComment ref="O14" dT="2024-02-29T07:12:00.62" personId="{EF76EEB5-D862-48AC-B346-097BFED9F2F3}" id="{0A25BE82-1F6A-4095-86E7-AFE7669022C4}">
    <text>Ei ole arvestatud ehitiste (tuulikud, päikesepaneelid jne) eluea lõpus tekkivate jäätmetega. See maht on pigem marginaalne. 
Jäätmeid tekib edaspidi põletamistehnoloogiate kasutamisel (tuhk).
Akude ja radioaktiivsete jäätmete kohta vt KSH  tekstiosa.</text>
  </threadedComment>
  <threadedComment ref="D18" dT="2023-03-30T07:20:33.06" personId="{EF76EEB5-D862-48AC-B346-097BFED9F2F3}" id="{4791917E-762D-4439-A03A-122ED948DAC7}">
    <text>Näitaja väljendab keskkonnajuhtimissüsteemide (KKJS) rahvusvahelise standardi ISO 14001:2004 ja selle uuendatud versiooni ISO 14001:2015 järgi sertifitseeritud ning Euroopa Parlamendi ja Nõukogu määruse nr 1221/2009 keskkonnajuhtimis- ja auditeerimissüsteemi (EMAS) kohaselt registreeritud era- või avaliku sektori organisatsioonide arvu.</text>
  </threadedComment>
  <threadedComment ref="D19" dT="2023-03-30T07:24:16.19" personId="{EF76EEB5-D862-48AC-B346-097BFED9F2F3}" id="{8A93B545-C2AA-4C9D-97FA-8E6B5FE1B140}">
    <text>Näitaja väljendab keskkonnajuhtimissüsteemide (KKJS) rahvusvahelise standardi ISO 14001:2004 ja selle uuendatud versiooni ISO 14001:2015 järgi sertifitseeritud ning Euroopa Parlamendi ja Nõukogu määruse nr 1221/2009 keskkonnajuhtimis- ja auditeerimissüsteemi (EMAS) kohaselt registreeritud era- või avaliku sektori organisatsioonide arvu.</text>
  </threadedComment>
  <threadedComment ref="D20" dT="2023-03-30T07:26:19.18" personId="{EF76EEB5-D862-48AC-B346-097BFED9F2F3}" id="{2F6AA046-406C-480C-9CDF-686C0D412703}">
    <text xml:space="preserve">Kasvuhoonegaaside heitkogus SKP-sse (kilogrammi SKP eurosse).
Kasvuhoonegaasidena käsitatakse inimtegevuse tagajärjel vabanenud süsinikdioksiidi (CO2), metaani (CH4), dilämmastikoksiidi (N2O) ja fluoritud kasvuhoonegaase ehk F-gaase: fluorosüsivesinikud (HFC), perfluorosüsivesinikud (PFC), väävelheksafluoriid (SF6) ja lämmastiktrifluoriid (NF3). </text>
  </threadedComment>
  <threadedComment ref="D21" dT="2023-03-30T07:28:45.59" personId="{EF76EEB5-D862-48AC-B346-097BFED9F2F3}" id="{521E6F65-6161-456F-8571-285DA72F1077}">
    <text xml:space="preserve">Kasvuhoonegaaside heitkogus SKP-sse (kilogrammi SKP eurosse).
Kasvuhoonegaasidena käsitatakse inimtegevuse tagajärjel vabanenud süsinikdioksiidi (CO2), metaani (CH4), dilämmastikoksiidi (N2O) ja fluoritud kasvuhoonegaase ehk F-gaase: fluorosüsivesinikud (HFC), perfluorosüsivesinikud (PFC), väävelheksafluoriid (SF6) ja lämmastiktrifluoriid (NF3). </text>
  </threadedComment>
  <threadedComment ref="D22" dT="2023-03-30T07:40:31.36" personId="{EF76EEB5-D862-48AC-B346-097BFED9F2F3}" id="{380D2B04-0872-4051-AD35-4376D453A47E}">
    <text>Läänemere peamiste töönduslike kalaliikide kilu, räime ja tursa Eesti jaoks majanduslikult olulise populatsiooni suurus tonnides, mida saab vaadelda võrrelduna  kudekarja biomassi piirväärtusega (Btrigger).</text>
  </threadedComment>
  <threadedComment ref="D23" dT="2023-03-30T07:40:38.56" personId="{EF76EEB5-D862-48AC-B346-097BFED9F2F3}" id="{EF2397F3-7470-4730-9EEE-30E3F32FC612}">
    <text>Läänemere peamiste töönduslike kalaliikide kilu, räime ja tursa Eesti jaoks majanduslikult olulise populatsiooni suurus tonnides, mida saab vaadelda võrrelduna  kudekarja biomassi piirväärtusega (Btrigger).</text>
  </threadedComment>
  <threadedComment ref="D24" dT="2023-03-30T07:40:43.30" personId="{EF76EEB5-D862-48AC-B346-097BFED9F2F3}" id="{5BB1A31B-5BCC-4A63-AC25-008921958362}">
    <text>Läänemere peamiste töönduslike kalaliikide kilu, räime ja tursa Eesti jaoks majanduslikult olulise populatsiooni suurus tonnides, mida saab vaadelda võrrelduna  kudekarja biomassi piirväärtusega (Btrigger).</text>
  </threadedComment>
  <threadedComment ref="D25" dT="2023-03-30T07:40:49.90" personId="{EF76EEB5-D862-48AC-B346-097BFED9F2F3}" id="{C7FB081A-78E6-4B09-8ABB-A4EF3D3F5E82}">
    <text>Läänemere peamiste töönduslike kalaliikide kilu, räime ja tursa Eesti jaoks majanduslikult olulise populatsiooni suurus tonnides, mida saab vaadelda võrrelduna  kudekarja biomassi piirväärtusega (Btrigger).</text>
  </threadedComment>
  <threadedComment ref="D26" dT="2023-03-30T07:40:54.32" personId="{EF76EEB5-D862-48AC-B346-097BFED9F2F3}" id="{DD24B848-6D07-441B-9881-62320C84B7EB}">
    <text>Läänemere peamiste töönduslike kalaliikide kilu, räime ja tursa Eesti jaoks majanduslikult olulise populatsiooni suurus tonnides, mida saab vaadelda võrrelduna  kudekarja biomassi piirväärtusega (Btrigger).</text>
  </threadedComment>
  <threadedComment ref="D27" dT="2023-03-30T07:40:59.18" personId="{EF76EEB5-D862-48AC-B346-097BFED9F2F3}" id="{55EC1FD9-7D3C-4A13-BF0A-CF98651C8C75}">
    <text>Läänemere peamiste töönduslike kalaliikide kilu, räime ja tursa Eesti jaoks majanduslikult olulise populatsiooni suurus tonnides, mida saab vaadelda võrrelduna  kudekarja biomassi piirväärtusega (Btrigger).</text>
  </threadedComment>
  <threadedComment ref="D28" dT="2023-03-30T07:43:39.93" personId="{EF76EEB5-D862-48AC-B346-097BFED9F2F3}" id="{034DD52B-3613-4BA9-8466-1DCC3E0E545B}">
    <text xml:space="preserve">Eesti maismaalt Läänemerre jõudev üldfosfori ja -lämmastiku kogus. Ühendid pärinevad Läänemerre suubuvatest seiratud jõgedest, seiramata aladelt, piiriülestest jõgedest ja otse Läänemerre suubuvatest punktallikatest. </text>
  </threadedComment>
  <threadedComment ref="D29" dT="2023-03-30T07:43:52.51" personId="{EF76EEB5-D862-48AC-B346-097BFED9F2F3}" id="{92653DB4-6FD6-40E2-BDA2-C440224987C0}">
    <text xml:space="preserve">Eesti maismaalt Läänemerre jõudev üldfosfori ja -lämmastiku kogus. Ühendid pärinevad Läänemerre suubuvatest seiratud jõgedest, seiramata aladelt, piiriülestest jõgedest ja otse Läänemerre suubuvatest punktallikatest. </text>
  </threadedComment>
  <threadedComment ref="D31" dT="2023-03-30T07:41:03.96" personId="{EF76EEB5-D862-48AC-B346-097BFED9F2F3}" id="{AF83D4A0-FF67-4C17-B7AD-F444B0612C73}">
    <text>Läänemere peamiste töönduslike kalaliikide kilu, räime ja tursa Eesti jaoks majanduslikult olulise populatsiooni suurus tonnides, mida saab vaadelda võrrelduna  kudekarja biomassi piirväärtusega (Btrigger).</text>
  </threadedComment>
  <threadedComment ref="D32" dT="2023-03-30T07:41:07.84" personId="{EF76EEB5-D862-48AC-B346-097BFED9F2F3}" id="{783F2C91-2910-4BBF-968F-16B76D6BB650}">
    <text>Läänemere peamiste töönduslike kalaliikide kilu, räime ja tursa Eesti jaoks majanduslikult olulise populatsiooni suurus tonnides, mida saab vaadelda võrrelduna  kudekarja biomassi piirväärtusega (Btrigger).</text>
  </threadedComment>
  <threadedComment ref="H33" dT="2024-04-18T11:29:13.80" personId="{EF76EEB5-D862-48AC-B346-097BFED9F2F3}" id="{54CD79EA-399F-4BE5-9E01-035EEFD673E2}">
    <text>Põlevkivist toodetud elektrienergia tagajärjel tekkinud jäätmete ligikaudne kogus.
Põlevkivijäätmete teke 2020 oli 11180000 tonni. Allikas: Riigi jäätmekava 2023-2028.
Statistikaameti andmebaasi KE062 järgi u 50% tarbitud põlevkivist kulus 2020. aastal elektrienergia tootmiseks. Selletõttu on jäätmete kogusest võetud 50%.</text>
  </threadedComment>
  <threadedComment ref="I33" dT="2024-02-29T07:12:00.62" personId="{EF76EEB5-D862-48AC-B346-097BFED9F2F3}" id="{0C32C7BC-8D53-415C-AEF2-0034F0E4761B}">
    <text>Ei ole arvestatud ehitiste (tuulikud, päikesepaneelid jne) eluea lõpus tekkivate jäätmetega. See maht on pigem marginaalne. 
Akude elueaks on arvestatud 10 aastat mistõttu ühe akupargi jäätmed on jaotatud kümne aasta peale. 1MW akude kaal on 20 tonni (vt KSH aruande jäätmete peatükki).
Vastavalt tuumaenergeetika rühma löpparuandele (https://kliimaministeerium.ee/media/12062/download) tekib 900MW tuumajaamast 35 t kasutatud kütust aastas.</text>
    <extLst>
      <x:ext xmlns:xltc2="http://schemas.microsoft.com/office/spreadsheetml/2020/threadedcomments2" uri="{F7C98A9C-CBB3-438F-8F68-D28B6AF4A901}">
        <xltc2:checksum>2859409363</xltc2:checksum>
        <xltc2:hyperlink startIndex="335" length="50" url="https://kliimaministeerium.ee/media/12062/download"/>
      </x:ext>
    </extLst>
  </threadedComment>
  <threadedComment ref="J33" dT="2024-02-29T07:33:24.89" personId="{EF76EEB5-D862-48AC-B346-097BFED9F2F3}" id="{91050EF3-5F73-4574-824E-6C908C1A84E2}">
    <text>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tuumajaamast ühe MW kohta 0,039 t kasutatud kütust aastas.</text>
    <extLst>
      <x:ext xmlns:xltc2="http://schemas.microsoft.com/office/spreadsheetml/2020/threadedcomments2" uri="{F7C98A9C-CBB3-438F-8F68-D28B6AF4A901}">
        <xltc2:checksum>3170865619</xltc2:checksum>
        <xltc2:hyperlink startIndex="272" length="50" url="https://kliimaministeerium.ee/media/12062/download"/>
      </x:ext>
    </extLst>
  </threadedComment>
  <threadedComment ref="K33" dT="2024-02-29T07:12:00.62" personId="{EF76EEB5-D862-48AC-B346-097BFED9F2F3}" id="{87DFC843-230B-4CC4-86EF-9893BC4AA78C}">
    <text>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900MW tuumajaamast 35 t kasutatud kütust.</text>
    <extLst>
      <x:ext xmlns:xltc2="http://schemas.microsoft.com/office/spreadsheetml/2020/threadedcomments2" uri="{F7C98A9C-CBB3-438F-8F68-D28B6AF4A901}">
        <xltc2:checksum>3852924445</xltc2:checksum>
        <xltc2:hyperlink startIndex="272" length="50" url="https://kliimaministeerium.ee/media/12062/download"/>
      </x:ext>
    </extLst>
  </threadedComment>
  <threadedComment ref="L33" dT="2024-02-29T07:12:00.62" personId="{EF76EEB5-D862-48AC-B346-097BFED9F2F3}" id="{70F3ED56-B460-4429-9F4A-569512005F06}">
    <text>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900MW tuumajaamast 35 t kasutatud kütust.</text>
    <extLst>
      <x:ext xmlns:xltc2="http://schemas.microsoft.com/office/spreadsheetml/2020/threadedcomments2" uri="{F7C98A9C-CBB3-438F-8F68-D28B6AF4A901}">
        <xltc2:checksum>3852924445</xltc2:checksum>
        <xltc2:hyperlink startIndex="272" length="50" url="https://kliimaministeerium.ee/media/12062/download"/>
      </x:ext>
    </extLst>
  </threadedComment>
  <threadedComment ref="M33" dT="2024-02-29T07:12:00.62" personId="{EF76EEB5-D862-48AC-B346-097BFED9F2F3}" id="{4405B4F1-808E-4D0C-A439-B5BB56EC44ED}">
    <text>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900MW tuumajaamast 35 t kasutatud kütust.</text>
    <extLst>
      <x:ext xmlns:xltc2="http://schemas.microsoft.com/office/spreadsheetml/2020/threadedcomments2" uri="{F7C98A9C-CBB3-438F-8F68-D28B6AF4A901}">
        <xltc2:checksum>3852924445</xltc2:checksum>
        <xltc2:hyperlink startIndex="272" length="50" url="https://kliimaministeerium.ee/media/12062/download"/>
      </x:ext>
    </extLst>
  </threadedComment>
  <threadedComment ref="N33" dT="2024-02-29T07:12:00.62" personId="{EF76EEB5-D862-48AC-B346-097BFED9F2F3}" id="{A55D39F6-AF70-4477-8EFB-2103C623F5C7}">
    <text>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900MW tuumajaamast 35 t kasutatud kütust.</text>
    <extLst>
      <x:ext xmlns:xltc2="http://schemas.microsoft.com/office/spreadsheetml/2020/threadedcomments2" uri="{F7C98A9C-CBB3-438F-8F68-D28B6AF4A901}">
        <xltc2:checksum>3852924445</xltc2:checksum>
        <xltc2:hyperlink startIndex="272" length="50" url="https://kliimaministeerium.ee/media/12062/download"/>
      </x:ext>
    </extLst>
  </threadedComment>
  <threadedComment ref="O33" dT="2024-02-29T07:12:00.62" personId="{EF76EEB5-D862-48AC-B346-097BFED9F2F3}" id="{ACCBBEF2-4867-47B0-BD2F-2039AB17D2E1}">
    <text>Ei ole arvestatud ehitiste (tuulikud, päikesepaneelid jne) eluea lõpus tekkivate jäätmetega. See maht on pigem marginaalne. 
Akude elueaks on arvestatud 10 aastat mistõttu ühe akupargi jäätmed on jaotatud kümne aasta peale.
Vastavalt tuumaenergeetika rühma löpparuandele (https://kliimaministeerium.ee/media/12062/download) tekib 900MW tuumajaamast 35 t kasutatud kütust.</text>
    <extLst>
      <x:ext xmlns:xltc2="http://schemas.microsoft.com/office/spreadsheetml/2020/threadedcomments2" uri="{F7C98A9C-CBB3-438F-8F68-D28B6AF4A901}">
        <xltc2:checksum>3852924445</xltc2:checksum>
        <xltc2:hyperlink startIndex="272" length="50" url="https://kliimaministeerium.ee/media/12062/download"/>
      </x:ext>
    </extLst>
  </threadedComment>
  <threadedComment ref="D35" dT="2023-03-30T06:11:15.19" personId="{EF76EEB5-D862-48AC-B346-097BFED9F2F3}" id="{DA55D22A-59E1-4D93-A3D3-A61E8197FA94}">
    <text>Peenosakesed välisõhus põhjustavad hingamisteede ning südame ja veresoonkonna haigusi ning vähendavad keskmist oodatavat eluiga.
Peenosakesed on alla 10-mikromeetrise (PM10) diameetriga eri koostisega väga väikeste tahkete osakeste ja piiskade segu. Eriti peened osakesed  on peenosakeste fraktsioon, mille diameeter jääb alla 2,5 mikromeetri (PM2,5).</text>
  </threadedComment>
  <threadedComment ref="H35" dT="2024-02-28T09:20:36.26" personId="{D362DD2C-F34B-4246-BAAB-C0D11409F4F9}" id="{A961444A-EF44-48D4-8899-2173267AB806}">
    <text>Arvestatud on põlevkivist elektri tootmisega kaasnevat PM10 heidet kolmest elektrijaamast keskkonnalubade põhjal. Tonnides</text>
  </threadedComment>
  <threadedComment ref="D37" dT="2023-03-30T06:11:21.95" personId="{EF76EEB5-D862-48AC-B346-097BFED9F2F3}" id="{4A48BAE2-B968-4336-9F89-FCE809110287}">
    <text>Peenosakesed välisõhus põhjustavad hingamisteede ning südame ja veresoonkonna haigusi ning vähendavad keskmist oodatavat eluiga.
Peenosakesed on alla 10-mikromeetrise (PM10) diameetriga eri koostisega väga väikeste tahkete osakeste ja piiskade segu. Eriti peened osakesed  on peenosakeste fraktsioon, mille diameeter jääb alla 2,5 mikromeetri (PM2,5).</text>
  </threadedComment>
  <threadedComment ref="H37" dT="2024-02-28T09:20:36.26" personId="{D362DD2C-F34B-4246-BAAB-C0D11409F4F9}" id="{DF50DB06-7A14-4CF9-8A60-21A192E8303E}">
    <text>Arvestatud on põlevkivist elektri tootmisega kaasnevat PM2,5 heidet kolmest elektrijaamast keskkonnalubade põhjal. Tonnides</text>
  </threadedComment>
  <threadedComment ref="I37" dT="2024-02-28T09:24:50.12" personId="{D362DD2C-F34B-4246-BAAB-C0D11409F4F9}" id="{2C0CE682-C192-43A7-888D-CE0F0C40099D}">
    <text>Hinnangu andmisel on võetud aluseks olemasoleva põlevkivi kasutamisega kaasneva peenosakeste tekkekogus 1MW kohta, välja arvutatud keskkonnalubade alusel. Tonnides</text>
  </threadedComment>
  <threadedComment ref="H39" dT="2024-04-08T14:37:42.43" personId="{EF76EEB5-D862-48AC-B346-097BFED9F2F3}" id="{98357E3A-3405-4093-A0F6-160F5AEC8A01}">
    <text>Statistikaamet KE033
Elektrienergia tootmiseks tarbitud põlevkivi aastal 2020 tonnides.</text>
  </threadedComment>
  <threadedComment ref="Q39" dT="2024-02-28T13:15:12.97" personId="{D362DD2C-F34B-4246-BAAB-C0D11409F4F9}" id="{787AC68C-7DAE-492B-81EA-CB1EE84C388A}">
    <text>Statistikaamet KE033
2020. aastal soojuse tootmiseks tarbitud põlevkivi kogus tuhat tonni</text>
  </threadedComment>
  <threadedComment ref="R39" dT="2024-02-28T13:15:36.49" personId="{D362DD2C-F34B-4246-BAAB-C0D11409F4F9}" id="{DD82CF20-A160-4DCF-87ED-05E16BA5A80F}">
    <text>Kasutusel on vaid roheelekter</text>
  </threadedComment>
</ThreadedComments>
</file>

<file path=xl/threadedComments/threadedComment2.xml><?xml version="1.0" encoding="utf-8"?>
<ThreadedComments xmlns="http://schemas.microsoft.com/office/spreadsheetml/2018/threadedcomments" xmlns:x="http://schemas.openxmlformats.org/spreadsheetml/2006/main">
  <threadedComment ref="D1" dT="2023-05-05T06:32:32.90" personId="{416736C3-B641-4946-9A8C-7019FC44F3C9}" id="{091065BA-5425-401E-8DF3-3BA80D18204A}">
    <text xml:space="preserve">https://energiatalgud.ee/sites/default/files/2022-10/Estonia%20action%20plan%20D7%20-%20Figures%20and%20data.xlsx </text>
    <extLst>
      <x:ext xmlns:xltc2="http://schemas.microsoft.com/office/spreadsheetml/2020/threadedcomments2" uri="{F7C98A9C-CBB3-438F-8F68-D28B6AF4A901}">
        <xltc2:checksum>2617979770</xltc2:checksum>
        <xltc2:hyperlink startIndex="0" length="113" url="https://energiatalgud.ee/sites/default/files/2022-10/Estonia%20action%20plan%20D7%20-%20Figures%20and%20data.xlsx"/>
      </x:ext>
    </extLst>
  </threadedComment>
  <threadedComment ref="A25" dT="2024-02-29T07:52:03.59" personId="{EF76EEB5-D862-48AC-B346-097BFED9F2F3}" id="{3D20169E-815B-4A5E-B23A-25A13B92D39F}">
    <text xml:space="preserve">Demand Side Management (DSM) on strateegia, mida elektrienergiaettevõtted kasutavad elektritarbimise kontrollimiseks, innustades kliente muutma oma energiatarbimise mustreid tipptundidel või vähendama üldist energiatarbimist. </text>
  </threadedComment>
  <threadedComment ref="C39" dT="2024-02-29T07:58:04.57" personId="{EF76EEB5-D862-48AC-B346-097BFED9F2F3}" id="{FAC2F3BD-0BA5-4EC2-8BEC-EB5CAE537C2F}">
    <text>Andmed energeetikasektori kohta aastal 2020 lähtuvalt "Teatavate õhusaasteainete heitkoguste vähendamise riikliku programmi aastateks 2020-2030 ajakohastamine".</text>
  </threadedComment>
  <threadedComment ref="C40" dT="2024-02-29T07:58:37.48" personId="{EF76EEB5-D862-48AC-B346-097BFED9F2F3}" id="{79633E5E-98DD-461A-94A3-643EEC48649D}">
    <text>Andmed energeetikasektori kohta aastal 2020 lähtuvalt "Teatavate õhusaasteainete heitkoguste vähendamise riikliku programmi aastateks 2020-2030 ajakohastamine".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hyperlink" Target="https://saareliivituulepark.ee/" TargetMode="External"/><Relationship Id="rId1" Type="http://schemas.openxmlformats.org/officeDocument/2006/relationships/hyperlink" Target="https://liivimeretuulepark.ee/projekti-inf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D6CCD-3239-46B7-B6DB-DDCDB53B3CEC}">
  <dimension ref="A1:Z43"/>
  <sheetViews>
    <sheetView tabSelected="1" zoomScale="85" zoomScaleNormal="85" workbookViewId="0">
      <pane xSplit="4" ySplit="3" topLeftCell="E4" activePane="bottomRight" state="frozen"/>
      <selection pane="topRight" activeCell="F1" sqref="F1"/>
      <selection pane="bottomLeft" activeCell="A3" sqref="A3"/>
      <selection pane="bottomRight"/>
    </sheetView>
  </sheetViews>
  <sheetFormatPr defaultColWidth="8.7109375" defaultRowHeight="15" x14ac:dyDescent="0.25"/>
  <cols>
    <col min="1" max="1" width="6.7109375" style="19" customWidth="1"/>
    <col min="2" max="2" width="27.85546875" style="4" customWidth="1"/>
    <col min="3" max="3" width="30.42578125" style="4" bestFit="1" customWidth="1"/>
    <col min="4" max="4" width="42.85546875" style="4" customWidth="1"/>
    <col min="5" max="5" width="40.42578125" style="4" customWidth="1"/>
    <col min="6" max="6" width="16.7109375" style="4" customWidth="1"/>
    <col min="7" max="7" width="60.5703125" style="4" customWidth="1"/>
    <col min="8" max="15" width="20.5703125" style="4" customWidth="1"/>
    <col min="16" max="16" width="64.42578125" style="3" bestFit="1" customWidth="1"/>
    <col min="17" max="21" width="10.7109375" style="3" customWidth="1"/>
    <col min="22" max="22" width="60.5703125" style="3" customWidth="1"/>
    <col min="23" max="26" width="15.7109375" style="3" customWidth="1"/>
    <col min="27" max="16384" width="8.7109375" style="3"/>
  </cols>
  <sheetData>
    <row r="1" spans="1:26" ht="15.75" thickBot="1" x14ac:dyDescent="0.3">
      <c r="B1" s="137" t="s">
        <v>500</v>
      </c>
      <c r="C1" s="137"/>
      <c r="D1" s="137"/>
      <c r="E1" s="137"/>
      <c r="F1" s="138"/>
      <c r="G1" s="139" t="s">
        <v>121</v>
      </c>
      <c r="H1" s="139"/>
      <c r="I1" s="139"/>
      <c r="J1" s="139"/>
      <c r="K1" s="139"/>
      <c r="L1" s="139"/>
      <c r="M1" s="139"/>
      <c r="N1" s="139"/>
      <c r="O1" s="140"/>
      <c r="P1" s="135" t="s">
        <v>122</v>
      </c>
      <c r="Q1" s="135"/>
      <c r="R1" s="135"/>
      <c r="S1" s="135"/>
      <c r="T1" s="135"/>
      <c r="U1" s="136"/>
      <c r="V1" s="130" t="s">
        <v>501</v>
      </c>
      <c r="W1" s="130"/>
      <c r="X1" s="130"/>
      <c r="Y1" s="130"/>
      <c r="Z1" s="131"/>
    </row>
    <row r="2" spans="1:26" ht="15.75" thickBot="1" x14ac:dyDescent="0.3">
      <c r="B2" s="38"/>
      <c r="C2" s="38"/>
      <c r="D2" s="38"/>
      <c r="E2" s="38"/>
      <c r="F2" s="39"/>
      <c r="G2" s="54"/>
      <c r="H2" s="54"/>
      <c r="I2" s="132" t="s">
        <v>341</v>
      </c>
      <c r="J2" s="133"/>
      <c r="K2" s="133"/>
      <c r="L2" s="133"/>
      <c r="M2" s="133"/>
      <c r="N2" s="133"/>
      <c r="O2" s="134"/>
      <c r="P2" s="55"/>
      <c r="Q2" s="141" t="s">
        <v>341</v>
      </c>
      <c r="R2" s="142"/>
      <c r="S2" s="142"/>
      <c r="T2" s="142"/>
      <c r="U2" s="143"/>
      <c r="V2" s="56"/>
      <c r="W2" s="127" t="s">
        <v>341</v>
      </c>
      <c r="X2" s="128"/>
      <c r="Y2" s="128"/>
      <c r="Z2" s="129"/>
    </row>
    <row r="3" spans="1:26" s="1" customFormat="1" ht="45.75" thickBot="1" x14ac:dyDescent="0.3">
      <c r="A3" s="20" t="s">
        <v>163</v>
      </c>
      <c r="B3" s="21" t="s">
        <v>166</v>
      </c>
      <c r="C3" s="21" t="s">
        <v>165</v>
      </c>
      <c r="D3" s="21" t="s">
        <v>164</v>
      </c>
      <c r="E3" s="21" t="s">
        <v>169</v>
      </c>
      <c r="F3" s="22" t="s">
        <v>167</v>
      </c>
      <c r="G3" s="114" t="s">
        <v>473</v>
      </c>
      <c r="H3" s="115" t="s">
        <v>345</v>
      </c>
      <c r="I3" s="115" t="s">
        <v>324</v>
      </c>
      <c r="J3" s="115" t="s">
        <v>325</v>
      </c>
      <c r="K3" s="115" t="s">
        <v>326</v>
      </c>
      <c r="L3" s="115" t="s">
        <v>327</v>
      </c>
      <c r="M3" s="115" t="s">
        <v>328</v>
      </c>
      <c r="N3" s="115" t="s">
        <v>329</v>
      </c>
      <c r="O3" s="115" t="s">
        <v>330</v>
      </c>
      <c r="P3" s="117" t="s">
        <v>473</v>
      </c>
      <c r="Q3" s="40" t="s">
        <v>323</v>
      </c>
      <c r="R3" s="40" t="s">
        <v>337</v>
      </c>
      <c r="S3" s="40" t="s">
        <v>338</v>
      </c>
      <c r="T3" s="40" t="s">
        <v>339</v>
      </c>
      <c r="U3" s="40" t="s">
        <v>340</v>
      </c>
      <c r="V3" s="117" t="s">
        <v>473</v>
      </c>
      <c r="W3" s="40" t="s">
        <v>323</v>
      </c>
      <c r="X3" s="40" t="s">
        <v>468</v>
      </c>
      <c r="Y3" s="40" t="s">
        <v>469</v>
      </c>
      <c r="Z3" s="40" t="s">
        <v>470</v>
      </c>
    </row>
    <row r="4" spans="1:26" ht="45" x14ac:dyDescent="0.25">
      <c r="A4" s="23">
        <v>1</v>
      </c>
      <c r="B4" s="12" t="s">
        <v>0</v>
      </c>
      <c r="C4" s="120" t="s">
        <v>1</v>
      </c>
      <c r="D4" s="121" t="s">
        <v>160</v>
      </c>
      <c r="E4" s="12" t="s">
        <v>2</v>
      </c>
      <c r="F4" s="9" t="s">
        <v>3</v>
      </c>
      <c r="G4" s="109" t="s">
        <v>161</v>
      </c>
      <c r="H4" s="110"/>
      <c r="I4" s="110"/>
      <c r="J4" s="110"/>
      <c r="K4" s="110"/>
      <c r="L4" s="110"/>
      <c r="M4" s="110"/>
      <c r="N4" s="110"/>
      <c r="O4" s="110"/>
      <c r="P4" s="113" t="s">
        <v>161</v>
      </c>
      <c r="Q4" s="110"/>
      <c r="R4" s="110"/>
      <c r="S4" s="110"/>
      <c r="T4" s="110"/>
      <c r="U4" s="110"/>
      <c r="V4" s="109" t="s">
        <v>161</v>
      </c>
      <c r="W4" s="110"/>
      <c r="X4" s="110"/>
      <c r="Y4" s="110"/>
      <c r="Z4" s="110"/>
    </row>
    <row r="5" spans="1:26" ht="30" x14ac:dyDescent="0.25">
      <c r="A5" s="23">
        <v>2</v>
      </c>
      <c r="B5" s="2" t="s">
        <v>0</v>
      </c>
      <c r="C5" s="122" t="s">
        <v>4</v>
      </c>
      <c r="D5" s="123" t="s">
        <v>5</v>
      </c>
      <c r="E5" s="2" t="s">
        <v>6</v>
      </c>
      <c r="F5" s="7" t="s">
        <v>7</v>
      </c>
      <c r="G5" s="67" t="s">
        <v>8</v>
      </c>
      <c r="H5" s="68"/>
      <c r="I5" s="68"/>
      <c r="J5" s="68"/>
      <c r="K5" s="68"/>
      <c r="L5" s="68"/>
      <c r="M5" s="68"/>
      <c r="N5" s="68"/>
      <c r="O5" s="68"/>
      <c r="P5" s="87" t="s">
        <v>8</v>
      </c>
      <c r="Q5" s="68"/>
      <c r="R5" s="68"/>
      <c r="S5" s="68"/>
      <c r="T5" s="68"/>
      <c r="U5" s="68"/>
      <c r="V5" s="10"/>
      <c r="W5" s="41"/>
      <c r="X5" s="41"/>
      <c r="Y5" s="41"/>
      <c r="Z5" s="41"/>
    </row>
    <row r="6" spans="1:26" ht="45" x14ac:dyDescent="0.25">
      <c r="A6" s="23">
        <v>3</v>
      </c>
      <c r="B6" s="2" t="s">
        <v>124</v>
      </c>
      <c r="C6" s="122" t="s">
        <v>42</v>
      </c>
      <c r="D6" s="123" t="s">
        <v>168</v>
      </c>
      <c r="E6" s="2" t="s">
        <v>43</v>
      </c>
      <c r="F6" s="7" t="s">
        <v>44</v>
      </c>
      <c r="G6" s="5" t="s">
        <v>505</v>
      </c>
      <c r="H6" s="70">
        <v>2.6669999999999998</v>
      </c>
      <c r="I6" s="112">
        <v>7.9000000000000001E-2</v>
      </c>
      <c r="J6" s="112">
        <v>0.03</v>
      </c>
      <c r="K6" s="112">
        <v>-0.14699999999999999</v>
      </c>
      <c r="L6" s="112">
        <v>6.8000000000000005E-2</v>
      </c>
      <c r="M6" s="112">
        <v>0.16700000000000001</v>
      </c>
      <c r="N6" s="112">
        <v>0.32400000000000001</v>
      </c>
      <c r="O6" s="112">
        <v>0.19900000000000001</v>
      </c>
      <c r="P6" s="26" t="s">
        <v>471</v>
      </c>
      <c r="Q6" s="97">
        <f>'stsenaariumid soojus ja jahutus'!B7</f>
        <v>1176</v>
      </c>
      <c r="R6" s="97">
        <f>'stsenaariumid soojus ja jahutus'!C7</f>
        <v>4154</v>
      </c>
      <c r="S6" s="97">
        <f>'stsenaariumid soojus ja jahutus'!D7</f>
        <v>1520</v>
      </c>
      <c r="T6" s="97">
        <f>'stsenaariumid soojus ja jahutus'!E7</f>
        <v>1961</v>
      </c>
      <c r="U6" s="97">
        <f>'stsenaariumid soojus ja jahutus'!F7</f>
        <v>1806</v>
      </c>
      <c r="V6" s="87" t="s">
        <v>36</v>
      </c>
      <c r="W6" s="68"/>
      <c r="X6" s="68"/>
      <c r="Y6" s="68"/>
      <c r="Z6" s="68"/>
    </row>
    <row r="7" spans="1:26" ht="75" x14ac:dyDescent="0.25">
      <c r="A7" s="23">
        <v>4</v>
      </c>
      <c r="B7" s="2" t="s">
        <v>0</v>
      </c>
      <c r="C7" s="122" t="s">
        <v>51</v>
      </c>
      <c r="D7" s="123" t="s">
        <v>52</v>
      </c>
      <c r="E7" s="2" t="s">
        <v>53</v>
      </c>
      <c r="F7" s="7" t="s">
        <v>54</v>
      </c>
      <c r="G7" s="6" t="s">
        <v>446</v>
      </c>
      <c r="H7" s="43"/>
      <c r="I7" s="110"/>
      <c r="J7" s="110"/>
      <c r="K7" s="110"/>
      <c r="L7" s="110"/>
      <c r="M7" s="110"/>
      <c r="N7" s="110"/>
      <c r="O7" s="110"/>
      <c r="P7" s="10" t="s">
        <v>446</v>
      </c>
      <c r="Q7" s="43"/>
      <c r="R7" s="43"/>
      <c r="S7" s="43"/>
      <c r="T7" s="43"/>
      <c r="U7" s="43"/>
      <c r="V7" s="10" t="s">
        <v>446</v>
      </c>
      <c r="W7" s="41"/>
      <c r="X7" s="41"/>
      <c r="Y7" s="41"/>
      <c r="Z7" s="41"/>
    </row>
    <row r="8" spans="1:26" ht="30" x14ac:dyDescent="0.25">
      <c r="A8" s="23">
        <v>5</v>
      </c>
      <c r="B8" s="2" t="s">
        <v>0</v>
      </c>
      <c r="C8" s="122" t="s">
        <v>117</v>
      </c>
      <c r="D8" s="123" t="s">
        <v>118</v>
      </c>
      <c r="E8" s="2" t="s">
        <v>119</v>
      </c>
      <c r="F8" s="7" t="s">
        <v>120</v>
      </c>
      <c r="G8" s="67" t="s">
        <v>36</v>
      </c>
      <c r="H8" s="68"/>
      <c r="I8" s="68"/>
      <c r="J8" s="68"/>
      <c r="K8" s="68"/>
      <c r="L8" s="68"/>
      <c r="M8" s="68"/>
      <c r="N8" s="68"/>
      <c r="O8" s="68"/>
      <c r="P8" s="10"/>
      <c r="Q8" s="41"/>
      <c r="R8" s="41"/>
      <c r="S8" s="41"/>
      <c r="T8" s="41"/>
      <c r="U8" s="41"/>
      <c r="V8" s="87" t="s">
        <v>36</v>
      </c>
      <c r="W8" s="68"/>
      <c r="X8" s="68"/>
      <c r="Y8" s="68"/>
      <c r="Z8" s="68"/>
    </row>
    <row r="9" spans="1:26" ht="30" x14ac:dyDescent="0.25">
      <c r="A9" s="23">
        <v>6</v>
      </c>
      <c r="B9" s="2" t="s">
        <v>9</v>
      </c>
      <c r="C9" s="122" t="s">
        <v>10</v>
      </c>
      <c r="D9" s="123" t="s">
        <v>20</v>
      </c>
      <c r="E9" s="2" t="s">
        <v>21</v>
      </c>
      <c r="F9" s="7" t="s">
        <v>13</v>
      </c>
      <c r="G9" s="6"/>
      <c r="H9" s="47"/>
      <c r="I9" s="47"/>
      <c r="J9" s="47"/>
      <c r="K9" s="47"/>
      <c r="L9" s="47"/>
      <c r="M9" s="47"/>
      <c r="N9" s="47"/>
      <c r="O9" s="47"/>
      <c r="P9" s="10"/>
      <c r="Q9" s="41"/>
      <c r="R9" s="41"/>
      <c r="S9" s="41"/>
      <c r="T9" s="41"/>
      <c r="U9" s="41"/>
      <c r="V9" s="10"/>
      <c r="W9" s="41"/>
      <c r="X9" s="41"/>
      <c r="Y9" s="41"/>
      <c r="Z9" s="41"/>
    </row>
    <row r="10" spans="1:26" ht="120" x14ac:dyDescent="0.25">
      <c r="A10" s="23">
        <v>7</v>
      </c>
      <c r="B10" s="2" t="s">
        <v>124</v>
      </c>
      <c r="C10" s="122" t="s">
        <v>104</v>
      </c>
      <c r="D10" s="123" t="s">
        <v>105</v>
      </c>
      <c r="E10" s="2" t="s">
        <v>106</v>
      </c>
      <c r="F10" s="7" t="s">
        <v>123</v>
      </c>
      <c r="G10" s="5" t="s">
        <v>26</v>
      </c>
      <c r="H10" s="42" t="s">
        <v>352</v>
      </c>
      <c r="I10" s="42" t="s">
        <v>351</v>
      </c>
      <c r="J10" s="42" t="s">
        <v>351</v>
      </c>
      <c r="K10" s="42" t="s">
        <v>351</v>
      </c>
      <c r="L10" s="42" t="s">
        <v>351</v>
      </c>
      <c r="M10" s="42" t="s">
        <v>351</v>
      </c>
      <c r="N10" s="42" t="s">
        <v>351</v>
      </c>
      <c r="O10" s="42" t="s">
        <v>351</v>
      </c>
      <c r="P10" s="10"/>
      <c r="Q10" s="41"/>
      <c r="R10" s="41"/>
      <c r="S10" s="41"/>
      <c r="T10" s="41"/>
      <c r="U10" s="41"/>
      <c r="V10" s="8" t="s">
        <v>472</v>
      </c>
      <c r="W10" s="107">
        <f>SUM('stsenaariumid gaasivõrgu dekarb'!C6:C11)</f>
        <v>0.70752837875279151</v>
      </c>
      <c r="X10" s="107">
        <f>SUM('stsenaariumid gaasivõrgu dekarb'!E6:E11)</f>
        <v>1.2522342611057322</v>
      </c>
      <c r="Y10" s="107">
        <f>SUM('stsenaariumid gaasivõrgu dekarb'!G6:G11)</f>
        <v>0.70752837875279062</v>
      </c>
      <c r="Z10" s="107">
        <f>SUM('stsenaariumid gaasivõrgu dekarb'!I6:I11)</f>
        <v>3.1310577905174992</v>
      </c>
    </row>
    <row r="11" spans="1:26" ht="30" x14ac:dyDescent="0.25">
      <c r="A11" s="23">
        <v>8</v>
      </c>
      <c r="B11" s="2" t="s">
        <v>9</v>
      </c>
      <c r="C11" s="122" t="s">
        <v>10</v>
      </c>
      <c r="D11" s="123" t="s">
        <v>11</v>
      </c>
      <c r="E11" s="2" t="s">
        <v>12</v>
      </c>
      <c r="F11" s="7" t="s">
        <v>13</v>
      </c>
      <c r="G11" s="5" t="s">
        <v>502</v>
      </c>
      <c r="H11" s="111" t="str">
        <f>CONCATENATE('stsenaariumid elekter'!$A$39,'stsenaariumid elekter'!C39,'stsenaariumid elekter'!$A$41,'stsenaariumid elekter'!$A$40,'stsenaariumid elekter'!C40)</f>
        <v>SO2 11,143; NOx 13,622</v>
      </c>
      <c r="I11" s="111" t="str">
        <f>CONCATENATE('stsenaariumid elekter'!$A$39,'stsenaariumid elekter'!D39,'stsenaariumid elekter'!$A$41,'stsenaariumid elekter'!$A$40,'stsenaariumid elekter'!D40)</f>
        <v>SO2 18,11; NOx 22,13</v>
      </c>
      <c r="J11" s="111" t="str">
        <f>CONCATENATE('stsenaariumid elekter'!$A$39,'stsenaariumid elekter'!E39,'stsenaariumid elekter'!$A$41,'stsenaariumid elekter'!$A$40,'stsenaariumid elekter'!E40)</f>
        <v>SO2 1,95; NOx 2,38</v>
      </c>
      <c r="K11" s="111" t="str">
        <f>CONCATENATE('stsenaariumid elekter'!$A$39,'stsenaariumid elekter'!F39,'stsenaariumid elekter'!$A$41,'stsenaariumid elekter'!$A$40,'stsenaariumid elekter'!F40)</f>
        <v>SO2 2,1; NOx 2,57</v>
      </c>
      <c r="L11" s="111" t="str">
        <f>CONCATENATE('stsenaariumid elekter'!$A$39,'stsenaariumid elekter'!G39,'stsenaariumid elekter'!$A$41,'stsenaariumid elekter'!$A$40,'stsenaariumid elekter'!G40)</f>
        <v>SO2 12,11; NOx 14,8</v>
      </c>
      <c r="M11" s="111" t="str">
        <f>CONCATENATE('stsenaariumid elekter'!$A$39,'stsenaariumid elekter'!H39,'stsenaariumid elekter'!$A$41,'stsenaariumid elekter'!$A$40,'stsenaariumid elekter'!H40)</f>
        <v>SO2 8,55; NOx 10,45</v>
      </c>
      <c r="N11" s="111" t="str">
        <f>CONCATENATE('stsenaariumid elekter'!$A$39,'stsenaariumid elekter'!I39,'stsenaariumid elekter'!$A$41,'stsenaariumid elekter'!$A$40,'stsenaariumid elekter'!I40)</f>
        <v>SO2 10,88; NOx 13,31</v>
      </c>
      <c r="O11" s="111" t="str">
        <f>CONCATENATE('stsenaariumid elekter'!$A$39,'stsenaariumid elekter'!J39,'stsenaariumid elekter'!$A$41,'stsenaariumid elekter'!$A$40,'stsenaariumid elekter'!J40)</f>
        <v>SO2 9,83; NOx 12,01</v>
      </c>
      <c r="P11" s="8" t="s">
        <v>498</v>
      </c>
      <c r="Q11" s="46">
        <f>'stsenaariumid soojus ja jahutus'!B6</f>
        <v>12383</v>
      </c>
      <c r="R11" s="46">
        <f>'stsenaariumid soojus ja jahutus'!C6</f>
        <v>6897</v>
      </c>
      <c r="S11" s="46">
        <f>'stsenaariumid soojus ja jahutus'!D6</f>
        <v>11785</v>
      </c>
      <c r="T11" s="46">
        <f>'stsenaariumid soojus ja jahutus'!E6</f>
        <v>9608</v>
      </c>
      <c r="U11" s="46">
        <f>'stsenaariumid soojus ja jahutus'!F6</f>
        <v>11089</v>
      </c>
      <c r="V11" s="10"/>
      <c r="W11" s="41"/>
      <c r="X11" s="41"/>
      <c r="Y11" s="41"/>
      <c r="Z11" s="41"/>
    </row>
    <row r="12" spans="1:26" ht="30" x14ac:dyDescent="0.25">
      <c r="A12" s="23">
        <v>9</v>
      </c>
      <c r="B12" s="2" t="s">
        <v>9</v>
      </c>
      <c r="C12" s="122" t="s">
        <v>10</v>
      </c>
      <c r="D12" s="123" t="s">
        <v>14</v>
      </c>
      <c r="E12" s="2" t="s">
        <v>15</v>
      </c>
      <c r="F12" s="7" t="s">
        <v>13</v>
      </c>
      <c r="G12" s="5" t="s">
        <v>503</v>
      </c>
      <c r="H12" s="69">
        <f>'stsenaariumid elekter'!C39</f>
        <v>11.143000000000001</v>
      </c>
      <c r="I12" s="69">
        <f>'stsenaariumid elekter'!D39</f>
        <v>18.11</v>
      </c>
      <c r="J12" s="69">
        <f>'stsenaariumid elekter'!E39</f>
        <v>1.95</v>
      </c>
      <c r="K12" s="69">
        <f>'stsenaariumid elekter'!F39</f>
        <v>2.1</v>
      </c>
      <c r="L12" s="69">
        <f>'stsenaariumid elekter'!G39</f>
        <v>12.11</v>
      </c>
      <c r="M12" s="69">
        <f>'stsenaariumid elekter'!H39</f>
        <v>8.5500000000000007</v>
      </c>
      <c r="N12" s="69">
        <f>'stsenaariumid elekter'!I39</f>
        <v>10.88</v>
      </c>
      <c r="O12" s="69">
        <f>'stsenaariumid elekter'!J39</f>
        <v>9.83</v>
      </c>
      <c r="P12" s="8" t="s">
        <v>498</v>
      </c>
      <c r="Q12" s="46">
        <f>'stsenaariumid soojus ja jahutus'!B6</f>
        <v>12383</v>
      </c>
      <c r="R12" s="46">
        <f>'stsenaariumid soojus ja jahutus'!C6</f>
        <v>6897</v>
      </c>
      <c r="S12" s="46">
        <f>'stsenaariumid soojus ja jahutus'!D6</f>
        <v>11785</v>
      </c>
      <c r="T12" s="46">
        <f>'stsenaariumid soojus ja jahutus'!E6</f>
        <v>9608</v>
      </c>
      <c r="U12" s="46">
        <f>'stsenaariumid soojus ja jahutus'!F6</f>
        <v>11089</v>
      </c>
      <c r="V12" s="8" t="s">
        <v>16</v>
      </c>
      <c r="W12" s="42">
        <v>0</v>
      </c>
      <c r="X12" s="42">
        <v>0</v>
      </c>
      <c r="Y12" s="42">
        <v>0</v>
      </c>
      <c r="Z12" s="42">
        <v>0</v>
      </c>
    </row>
    <row r="13" spans="1:26" ht="30" x14ac:dyDescent="0.25">
      <c r="A13" s="23">
        <v>10</v>
      </c>
      <c r="B13" s="2" t="s">
        <v>9</v>
      </c>
      <c r="C13" s="122" t="s">
        <v>10</v>
      </c>
      <c r="D13" s="123" t="s">
        <v>17</v>
      </c>
      <c r="E13" s="2" t="s">
        <v>18</v>
      </c>
      <c r="F13" s="7" t="s">
        <v>13</v>
      </c>
      <c r="G13" s="5" t="s">
        <v>504</v>
      </c>
      <c r="H13" s="107">
        <f>'stsenaariumid elekter'!C40</f>
        <v>13.622</v>
      </c>
      <c r="I13" s="107">
        <f>'stsenaariumid elekter'!D40</f>
        <v>22.13</v>
      </c>
      <c r="J13" s="107">
        <f>'stsenaariumid elekter'!E40</f>
        <v>2.38</v>
      </c>
      <c r="K13" s="107">
        <f>'stsenaariumid elekter'!F40</f>
        <v>2.57</v>
      </c>
      <c r="L13" s="107">
        <f>'stsenaariumid elekter'!G40</f>
        <v>14.8</v>
      </c>
      <c r="M13" s="107">
        <f>'stsenaariumid elekter'!H40</f>
        <v>10.45</v>
      </c>
      <c r="N13" s="107">
        <f>'stsenaariumid elekter'!I40</f>
        <v>13.31</v>
      </c>
      <c r="O13" s="107">
        <f>'stsenaariumid elekter'!J40</f>
        <v>12.01</v>
      </c>
      <c r="P13" s="8" t="s">
        <v>498</v>
      </c>
      <c r="Q13" s="46">
        <f>'stsenaariumid soojus ja jahutus'!B6</f>
        <v>12383</v>
      </c>
      <c r="R13" s="46">
        <f>'stsenaariumid soojus ja jahutus'!C6</f>
        <v>6897</v>
      </c>
      <c r="S13" s="46">
        <f>'stsenaariumid soojus ja jahutus'!D6</f>
        <v>11785</v>
      </c>
      <c r="T13" s="46">
        <f>'stsenaariumid soojus ja jahutus'!E6</f>
        <v>9608</v>
      </c>
      <c r="U13" s="46">
        <f>'stsenaariumid soojus ja jahutus'!F6</f>
        <v>11089</v>
      </c>
      <c r="V13" s="8" t="s">
        <v>19</v>
      </c>
      <c r="W13" s="42">
        <v>0</v>
      </c>
      <c r="X13" s="42">
        <v>0</v>
      </c>
      <c r="Y13" s="42">
        <v>0</v>
      </c>
      <c r="Z13" s="42">
        <v>0</v>
      </c>
    </row>
    <row r="14" spans="1:26" ht="75" x14ac:dyDescent="0.25">
      <c r="A14" s="23">
        <v>11</v>
      </c>
      <c r="B14" s="2" t="s">
        <v>9</v>
      </c>
      <c r="C14" s="122" t="s">
        <v>22</v>
      </c>
      <c r="D14" s="123" t="s">
        <v>23</v>
      </c>
      <c r="E14" s="2" t="s">
        <v>24</v>
      </c>
      <c r="F14" s="7" t="s">
        <v>25</v>
      </c>
      <c r="G14" s="5" t="s">
        <v>482</v>
      </c>
      <c r="H14" s="42">
        <f>1.29+4.93+4.96</f>
        <v>11.18</v>
      </c>
      <c r="I14" s="48">
        <v>0</v>
      </c>
      <c r="J14" s="48">
        <v>0</v>
      </c>
      <c r="K14" s="48">
        <v>0</v>
      </c>
      <c r="L14" s="48">
        <v>0</v>
      </c>
      <c r="M14" s="48">
        <v>0</v>
      </c>
      <c r="N14" s="48">
        <v>0</v>
      </c>
      <c r="O14" s="48">
        <v>0</v>
      </c>
      <c r="P14" s="10"/>
      <c r="Q14" s="41"/>
      <c r="R14" s="41"/>
      <c r="S14" s="41"/>
      <c r="T14" s="41"/>
      <c r="U14" s="41"/>
      <c r="V14" s="10"/>
      <c r="W14" s="41"/>
      <c r="X14" s="41"/>
      <c r="Y14" s="41"/>
      <c r="Z14" s="41"/>
    </row>
    <row r="15" spans="1:26" ht="45" x14ac:dyDescent="0.25">
      <c r="A15" s="23">
        <v>12</v>
      </c>
      <c r="B15" s="2" t="s">
        <v>9</v>
      </c>
      <c r="C15" s="122" t="s">
        <v>27</v>
      </c>
      <c r="D15" s="123" t="s">
        <v>28</v>
      </c>
      <c r="E15" s="2" t="s">
        <v>29</v>
      </c>
      <c r="F15" s="7" t="s">
        <v>30</v>
      </c>
      <c r="G15" s="5" t="s">
        <v>493</v>
      </c>
      <c r="H15" s="46">
        <f>('stsenaariumid elekter'!C3*'tuul ühikväärtused'!$K$13)+('stsenaariumid elekter'!C5*'tuul ühikväärtused'!$K$22)+('stsenaariumid elekter'!C7*'päike ühikväärtused'!$G$12)</f>
        <v>1071.3856425568033</v>
      </c>
      <c r="I15" s="46">
        <f>('stsenaariumid elekter'!D3*'tuul ühikväärtused'!$K$13)+('stsenaariumid elekter'!D5*'tuul ühikväärtused'!$K$22)+('stsenaariumid elekter'!D7*'päike ühikväärtused'!$G$12)</f>
        <v>29747.073696842745</v>
      </c>
      <c r="J15" s="46">
        <f>('stsenaariumid elekter'!E3*'tuul ühikväärtused'!$K$13)+('stsenaariumid elekter'!E5*'tuul ühikväärtused'!$K$22)+('stsenaariumid elekter'!E7*'päike ühikväärtused'!$G$12)</f>
        <v>4841.3035784809017</v>
      </c>
      <c r="K15" s="46">
        <f>('stsenaariumid elekter'!F3*'tuul ühikväärtused'!$K$13)+('stsenaariumid elekter'!F5*'tuul ühikväärtused'!$K$22)+('stsenaariumid elekter'!F7*'päike ühikväärtused'!$G$12)</f>
        <v>4817.5236317195886</v>
      </c>
      <c r="L15" s="46">
        <f>('stsenaariumid elekter'!G3*'tuul ühikväärtused'!$K$13)+('stsenaariumid elekter'!G5*'tuul ühikväärtused'!$K$22)+('stsenaariumid elekter'!G7*'päike ühikväärtused'!$G$12)</f>
        <v>4836.5475891286387</v>
      </c>
      <c r="M15" s="46">
        <f>('stsenaariumid elekter'!H3*'tuul ühikväärtused'!$K$13)+('stsenaariumid elekter'!H5*'tuul ühikväärtused'!$K$22)+('stsenaariumid elekter'!H7*'päike ühikväärtused'!$G$12)</f>
        <v>4820.930907673448</v>
      </c>
      <c r="N15" s="46">
        <f>('stsenaariumid elekter'!I3*'tuul ühikväärtused'!$K$13)+('stsenaariumid elekter'!I5*'tuul ühikväärtused'!$K$22)+('stsenaariumid elekter'!I7*'päike ühikväärtused'!$G$12)</f>
        <v>7474.1784675669714</v>
      </c>
      <c r="O15" s="46">
        <f>('stsenaariumid elekter'!J3*'tuul ühikväärtused'!$K$13)+('stsenaariumid elekter'!J5*'tuul ühikväärtused'!$K$22)+('stsenaariumid elekter'!J7*'päike ühikväärtused'!$G$12)</f>
        <v>4829.5555749316563</v>
      </c>
      <c r="P15" s="10"/>
      <c r="Q15" s="41"/>
      <c r="R15" s="41"/>
      <c r="S15" s="41"/>
      <c r="T15" s="41"/>
      <c r="U15" s="41"/>
      <c r="V15" s="10"/>
      <c r="W15" s="41"/>
      <c r="X15" s="41"/>
      <c r="Y15" s="41"/>
      <c r="Z15" s="41"/>
    </row>
    <row r="16" spans="1:26" ht="60" x14ac:dyDescent="0.25">
      <c r="A16" s="23">
        <v>13</v>
      </c>
      <c r="B16" s="2" t="s">
        <v>9</v>
      </c>
      <c r="C16" s="122" t="s">
        <v>31</v>
      </c>
      <c r="D16" s="123" t="s">
        <v>170</v>
      </c>
      <c r="E16" s="2" t="s">
        <v>32</v>
      </c>
      <c r="F16" s="7" t="s">
        <v>30</v>
      </c>
      <c r="G16" s="5" t="s">
        <v>494</v>
      </c>
      <c r="H16" s="46">
        <f>('stsenaariumid elekter'!C5*'tuul ühikväärtused'!$K$22)</f>
        <v>0</v>
      </c>
      <c r="I16" s="46">
        <f>('stsenaariumid elekter'!D5*'tuul ühikväärtused'!$K$22)</f>
        <v>28000.000000000004</v>
      </c>
      <c r="J16" s="46">
        <f>('stsenaariumid elekter'!E5*'tuul ühikväärtused'!$K$22)</f>
        <v>0</v>
      </c>
      <c r="K16" s="46">
        <f>('stsenaariumid elekter'!F5*'tuul ühikväärtused'!$K$22)</f>
        <v>0</v>
      </c>
      <c r="L16" s="46">
        <f>('stsenaariumid elekter'!G5*'tuul ühikväärtused'!$K$22)</f>
        <v>0</v>
      </c>
      <c r="M16" s="46">
        <f>('stsenaariumid elekter'!H5*'tuul ühikväärtused'!$K$22)</f>
        <v>0</v>
      </c>
      <c r="N16" s="46">
        <f>('stsenaariumid elekter'!I5*'tuul ühikväärtused'!$K$22)</f>
        <v>2590.0000000000005</v>
      </c>
      <c r="O16" s="46">
        <f>('stsenaariumid elekter'!J5*'tuul ühikväärtused'!$K$22)</f>
        <v>0</v>
      </c>
      <c r="P16" s="10"/>
      <c r="Q16" s="41"/>
      <c r="R16" s="41"/>
      <c r="S16" s="41"/>
      <c r="T16" s="41"/>
      <c r="U16" s="41"/>
      <c r="V16" s="10"/>
      <c r="W16" s="41"/>
      <c r="X16" s="41"/>
      <c r="Y16" s="41"/>
      <c r="Z16" s="41"/>
    </row>
    <row r="17" spans="1:26" ht="30" x14ac:dyDescent="0.25">
      <c r="A17" s="23">
        <v>14</v>
      </c>
      <c r="B17" s="2" t="s">
        <v>9</v>
      </c>
      <c r="C17" s="122" t="s">
        <v>33</v>
      </c>
      <c r="D17" s="123" t="s">
        <v>34</v>
      </c>
      <c r="E17" s="2" t="s">
        <v>35</v>
      </c>
      <c r="F17" s="7" t="s">
        <v>13</v>
      </c>
      <c r="G17" s="67" t="s">
        <v>36</v>
      </c>
      <c r="H17" s="68"/>
      <c r="I17" s="68"/>
      <c r="J17" s="68"/>
      <c r="K17" s="68"/>
      <c r="L17" s="68"/>
      <c r="M17" s="68"/>
      <c r="N17" s="68"/>
      <c r="O17" s="68"/>
      <c r="P17" s="10"/>
      <c r="Q17" s="41"/>
      <c r="R17" s="41"/>
      <c r="S17" s="41"/>
      <c r="T17" s="41"/>
      <c r="U17" s="41"/>
      <c r="V17" s="87" t="s">
        <v>36</v>
      </c>
      <c r="W17" s="68"/>
      <c r="X17" s="68"/>
      <c r="Y17" s="68"/>
      <c r="Z17" s="68"/>
    </row>
    <row r="18" spans="1:26" ht="45" x14ac:dyDescent="0.25">
      <c r="A18" s="23">
        <v>15</v>
      </c>
      <c r="B18" s="2" t="s">
        <v>9</v>
      </c>
      <c r="C18" s="122" t="s">
        <v>45</v>
      </c>
      <c r="D18" s="123" t="s">
        <v>46</v>
      </c>
      <c r="E18" s="2" t="s">
        <v>47</v>
      </c>
      <c r="F18" s="7" t="s">
        <v>48</v>
      </c>
      <c r="G18" s="6"/>
      <c r="H18" s="41"/>
      <c r="I18" s="41"/>
      <c r="J18" s="41"/>
      <c r="K18" s="41"/>
      <c r="L18" s="41"/>
      <c r="M18" s="41"/>
      <c r="N18" s="41"/>
      <c r="O18" s="41"/>
      <c r="P18" s="10"/>
      <c r="Q18" s="41"/>
      <c r="R18" s="41"/>
      <c r="S18" s="41"/>
      <c r="T18" s="41"/>
      <c r="U18" s="41"/>
      <c r="V18" s="10"/>
      <c r="W18" s="41"/>
      <c r="X18" s="41"/>
      <c r="Y18" s="41"/>
      <c r="Z18" s="41"/>
    </row>
    <row r="19" spans="1:26" ht="30" x14ac:dyDescent="0.25">
      <c r="A19" s="23">
        <v>16</v>
      </c>
      <c r="B19" s="2" t="s">
        <v>9</v>
      </c>
      <c r="C19" s="122" t="s">
        <v>45</v>
      </c>
      <c r="D19" s="123" t="s">
        <v>49</v>
      </c>
      <c r="E19" s="2" t="s">
        <v>50</v>
      </c>
      <c r="F19" s="7" t="s">
        <v>48</v>
      </c>
      <c r="G19" s="6"/>
      <c r="H19" s="41"/>
      <c r="I19" s="41"/>
      <c r="J19" s="41"/>
      <c r="K19" s="41"/>
      <c r="L19" s="41"/>
      <c r="M19" s="41"/>
      <c r="N19" s="41"/>
      <c r="O19" s="41"/>
      <c r="P19" s="10"/>
      <c r="Q19" s="41"/>
      <c r="R19" s="41"/>
      <c r="S19" s="41"/>
      <c r="T19" s="41"/>
      <c r="U19" s="41"/>
      <c r="V19" s="10"/>
      <c r="W19" s="41"/>
      <c r="X19" s="41"/>
      <c r="Y19" s="41"/>
      <c r="Z19" s="41"/>
    </row>
    <row r="20" spans="1:26" ht="30" x14ac:dyDescent="0.25">
      <c r="A20" s="23">
        <v>17</v>
      </c>
      <c r="B20" s="2" t="s">
        <v>9</v>
      </c>
      <c r="C20" s="122" t="s">
        <v>37</v>
      </c>
      <c r="D20" s="123" t="s">
        <v>38</v>
      </c>
      <c r="E20" s="2" t="s">
        <v>39</v>
      </c>
      <c r="F20" s="7" t="s">
        <v>25</v>
      </c>
      <c r="G20" s="67" t="s">
        <v>36</v>
      </c>
      <c r="H20" s="108"/>
      <c r="I20" s="108"/>
      <c r="J20" s="108"/>
      <c r="K20" s="108"/>
      <c r="L20" s="108"/>
      <c r="M20" s="108"/>
      <c r="N20" s="108"/>
      <c r="O20" s="108"/>
      <c r="P20" s="87" t="s">
        <v>36</v>
      </c>
      <c r="Q20" s="68"/>
      <c r="R20" s="68"/>
      <c r="S20" s="68"/>
      <c r="T20" s="68"/>
      <c r="U20" s="68"/>
      <c r="V20" s="67" t="s">
        <v>36</v>
      </c>
      <c r="W20" s="68"/>
      <c r="X20" s="68"/>
      <c r="Y20" s="68"/>
      <c r="Z20" s="68"/>
    </row>
    <row r="21" spans="1:26" ht="30" x14ac:dyDescent="0.25">
      <c r="A21" s="23">
        <v>18</v>
      </c>
      <c r="B21" s="2" t="s">
        <v>9</v>
      </c>
      <c r="C21" s="122" t="s">
        <v>37</v>
      </c>
      <c r="D21" s="123" t="s">
        <v>40</v>
      </c>
      <c r="E21" s="2" t="s">
        <v>41</v>
      </c>
      <c r="F21" s="7" t="s">
        <v>25</v>
      </c>
      <c r="G21" s="67" t="s">
        <v>36</v>
      </c>
      <c r="H21" s="68"/>
      <c r="I21" s="68"/>
      <c r="J21" s="68"/>
      <c r="K21" s="68"/>
      <c r="L21" s="68"/>
      <c r="M21" s="68"/>
      <c r="N21" s="68"/>
      <c r="O21" s="68"/>
      <c r="P21" s="87" t="s">
        <v>36</v>
      </c>
      <c r="Q21" s="68"/>
      <c r="R21" s="68"/>
      <c r="S21" s="68"/>
      <c r="T21" s="68"/>
      <c r="U21" s="68"/>
      <c r="V21" s="87" t="s">
        <v>36</v>
      </c>
      <c r="W21" s="68"/>
      <c r="X21" s="68"/>
      <c r="Y21" s="68"/>
      <c r="Z21" s="68"/>
    </row>
    <row r="22" spans="1:26" ht="30" x14ac:dyDescent="0.25">
      <c r="A22" s="23">
        <v>20</v>
      </c>
      <c r="B22" s="2" t="s">
        <v>9</v>
      </c>
      <c r="C22" s="122" t="s">
        <v>55</v>
      </c>
      <c r="D22" s="123" t="s">
        <v>56</v>
      </c>
      <c r="E22" s="2" t="s">
        <v>57</v>
      </c>
      <c r="F22" s="7" t="s">
        <v>30</v>
      </c>
      <c r="G22" s="5" t="s">
        <v>491</v>
      </c>
      <c r="H22" s="46">
        <f>('stsenaariumid elekter'!C5*'tuul ühikväärtused'!$K$22)</f>
        <v>0</v>
      </c>
      <c r="I22" s="46">
        <f>('stsenaariumid elekter'!D5*'tuul ühikväärtused'!$K$22)</f>
        <v>28000.000000000004</v>
      </c>
      <c r="J22" s="46">
        <f>('stsenaariumid elekter'!E5*'tuul ühikväärtused'!$K$22)</f>
        <v>0</v>
      </c>
      <c r="K22" s="46">
        <f>('stsenaariumid elekter'!F5*'tuul ühikväärtused'!$K$22)</f>
        <v>0</v>
      </c>
      <c r="L22" s="46">
        <f>('stsenaariumid elekter'!G5*'tuul ühikväärtused'!$K$22)</f>
        <v>0</v>
      </c>
      <c r="M22" s="46">
        <f>('stsenaariumid elekter'!H5*'tuul ühikväärtused'!$K$22)</f>
        <v>0</v>
      </c>
      <c r="N22" s="46">
        <f>('stsenaariumid elekter'!I5*'tuul ühikväärtused'!$K$22)</f>
        <v>2590.0000000000005</v>
      </c>
      <c r="O22" s="46">
        <f>('stsenaariumid elekter'!J5*'tuul ühikväärtused'!$K$22)</f>
        <v>0</v>
      </c>
      <c r="P22" s="10"/>
      <c r="Q22" s="41"/>
      <c r="R22" s="41"/>
      <c r="S22" s="41"/>
      <c r="T22" s="41"/>
      <c r="U22" s="41"/>
      <c r="V22" s="10"/>
      <c r="W22" s="41"/>
      <c r="X22" s="41"/>
      <c r="Y22" s="41"/>
      <c r="Z22" s="41"/>
    </row>
    <row r="23" spans="1:26" ht="30" x14ac:dyDescent="0.25">
      <c r="A23" s="23">
        <v>21</v>
      </c>
      <c r="B23" s="2" t="s">
        <v>9</v>
      </c>
      <c r="C23" s="122" t="s">
        <v>55</v>
      </c>
      <c r="D23" s="123" t="s">
        <v>58</v>
      </c>
      <c r="E23" s="2" t="s">
        <v>59</v>
      </c>
      <c r="F23" s="7" t="s">
        <v>30</v>
      </c>
      <c r="G23" s="5" t="s">
        <v>491</v>
      </c>
      <c r="H23" s="46">
        <f>('stsenaariumid elekter'!C5*'tuul ühikväärtused'!$K$22)</f>
        <v>0</v>
      </c>
      <c r="I23" s="46">
        <f>('stsenaariumid elekter'!D5*'tuul ühikväärtused'!$K$22)</f>
        <v>28000.000000000004</v>
      </c>
      <c r="J23" s="46">
        <f>('stsenaariumid elekter'!E5*'tuul ühikväärtused'!$K$22)</f>
        <v>0</v>
      </c>
      <c r="K23" s="46">
        <f>('stsenaariumid elekter'!F5*'tuul ühikväärtused'!$K$22)</f>
        <v>0</v>
      </c>
      <c r="L23" s="46">
        <f>('stsenaariumid elekter'!G5*'tuul ühikväärtused'!$K$22)</f>
        <v>0</v>
      </c>
      <c r="M23" s="46">
        <f>('stsenaariumid elekter'!H5*'tuul ühikväärtused'!$K$22)</f>
        <v>0</v>
      </c>
      <c r="N23" s="46">
        <f>('stsenaariumid elekter'!I5*'tuul ühikväärtused'!$K$22)</f>
        <v>2590.0000000000005</v>
      </c>
      <c r="O23" s="46">
        <f>('stsenaariumid elekter'!J5*'tuul ühikväärtused'!$K$22)</f>
        <v>0</v>
      </c>
      <c r="P23" s="10"/>
      <c r="Q23" s="41"/>
      <c r="R23" s="41"/>
      <c r="S23" s="41"/>
      <c r="T23" s="41"/>
      <c r="U23" s="41"/>
      <c r="V23" s="10"/>
      <c r="W23" s="41"/>
      <c r="X23" s="41"/>
      <c r="Y23" s="41"/>
      <c r="Z23" s="41"/>
    </row>
    <row r="24" spans="1:26" ht="45" x14ac:dyDescent="0.25">
      <c r="A24" s="23">
        <v>22</v>
      </c>
      <c r="B24" s="2" t="s">
        <v>9</v>
      </c>
      <c r="C24" s="122" t="s">
        <v>55</v>
      </c>
      <c r="D24" s="123" t="s">
        <v>60</v>
      </c>
      <c r="E24" s="2" t="s">
        <v>61</v>
      </c>
      <c r="F24" s="7" t="s">
        <v>30</v>
      </c>
      <c r="G24" s="5" t="s">
        <v>491</v>
      </c>
      <c r="H24" s="46">
        <f>('stsenaariumid elekter'!C5*'tuul ühikväärtused'!$K$22)</f>
        <v>0</v>
      </c>
      <c r="I24" s="46">
        <f>('stsenaariumid elekter'!D5*'tuul ühikväärtused'!$K$22)</f>
        <v>28000.000000000004</v>
      </c>
      <c r="J24" s="46">
        <f>('stsenaariumid elekter'!E5*'tuul ühikväärtused'!$K$22)</f>
        <v>0</v>
      </c>
      <c r="K24" s="46">
        <f>('stsenaariumid elekter'!F5*'tuul ühikväärtused'!$K$22)</f>
        <v>0</v>
      </c>
      <c r="L24" s="46">
        <f>('stsenaariumid elekter'!G5*'tuul ühikväärtused'!$K$22)</f>
        <v>0</v>
      </c>
      <c r="M24" s="46">
        <f>('stsenaariumid elekter'!H5*'tuul ühikväärtused'!$K$22)</f>
        <v>0</v>
      </c>
      <c r="N24" s="46">
        <f>('stsenaariumid elekter'!I5*'tuul ühikväärtused'!$K$22)</f>
        <v>2590.0000000000005</v>
      </c>
      <c r="O24" s="46">
        <f>('stsenaariumid elekter'!J5*'tuul ühikväärtused'!$K$22)</f>
        <v>0</v>
      </c>
      <c r="P24" s="10"/>
      <c r="Q24" s="41"/>
      <c r="R24" s="41"/>
      <c r="S24" s="41"/>
      <c r="T24" s="41"/>
      <c r="U24" s="41"/>
      <c r="V24" s="10"/>
      <c r="W24" s="41"/>
      <c r="X24" s="41"/>
      <c r="Y24" s="41"/>
      <c r="Z24" s="41"/>
    </row>
    <row r="25" spans="1:26" ht="30" x14ac:dyDescent="0.25">
      <c r="A25" s="23">
        <v>23</v>
      </c>
      <c r="B25" s="2" t="s">
        <v>9</v>
      </c>
      <c r="C25" s="122" t="s">
        <v>55</v>
      </c>
      <c r="D25" s="123" t="s">
        <v>62</v>
      </c>
      <c r="E25" s="2" t="s">
        <v>63</v>
      </c>
      <c r="F25" s="7" t="s">
        <v>30</v>
      </c>
      <c r="G25" s="5" t="s">
        <v>491</v>
      </c>
      <c r="H25" s="46">
        <f>('stsenaariumid elekter'!C5*'tuul ühikväärtused'!$K$22)</f>
        <v>0</v>
      </c>
      <c r="I25" s="46">
        <f>('stsenaariumid elekter'!D5*'tuul ühikväärtused'!$K$22)</f>
        <v>28000.000000000004</v>
      </c>
      <c r="J25" s="46">
        <f>('stsenaariumid elekter'!E5*'tuul ühikväärtused'!$K$22)</f>
        <v>0</v>
      </c>
      <c r="K25" s="46">
        <f>('stsenaariumid elekter'!F5*'tuul ühikväärtused'!$K$22)</f>
        <v>0</v>
      </c>
      <c r="L25" s="46">
        <f>('stsenaariumid elekter'!G5*'tuul ühikväärtused'!$K$22)</f>
        <v>0</v>
      </c>
      <c r="M25" s="46">
        <f>('stsenaariumid elekter'!H5*'tuul ühikväärtused'!$K$22)</f>
        <v>0</v>
      </c>
      <c r="N25" s="46">
        <f>('stsenaariumid elekter'!I5*'tuul ühikväärtused'!$K$22)</f>
        <v>2590.0000000000005</v>
      </c>
      <c r="O25" s="46">
        <f>('stsenaariumid elekter'!J5*'tuul ühikväärtused'!$K$22)</f>
        <v>0</v>
      </c>
      <c r="P25" s="10"/>
      <c r="Q25" s="41"/>
      <c r="R25" s="41"/>
      <c r="S25" s="41"/>
      <c r="T25" s="41"/>
      <c r="U25" s="41"/>
      <c r="V25" s="10"/>
      <c r="W25" s="41"/>
      <c r="X25" s="41"/>
      <c r="Y25" s="41"/>
      <c r="Z25" s="41"/>
    </row>
    <row r="26" spans="1:26" ht="30" x14ac:dyDescent="0.25">
      <c r="A26" s="23">
        <v>24</v>
      </c>
      <c r="B26" s="2" t="s">
        <v>9</v>
      </c>
      <c r="C26" s="122" t="s">
        <v>55</v>
      </c>
      <c r="D26" s="123" t="s">
        <v>64</v>
      </c>
      <c r="E26" s="2" t="s">
        <v>65</v>
      </c>
      <c r="F26" s="7" t="s">
        <v>30</v>
      </c>
      <c r="G26" s="5" t="s">
        <v>491</v>
      </c>
      <c r="H26" s="46">
        <f>('stsenaariumid elekter'!C5*'tuul ühikväärtused'!$K$22)</f>
        <v>0</v>
      </c>
      <c r="I26" s="46">
        <f>('stsenaariumid elekter'!D5*'tuul ühikväärtused'!$K$22)</f>
        <v>28000.000000000004</v>
      </c>
      <c r="J26" s="46">
        <f>('stsenaariumid elekter'!E5*'tuul ühikväärtused'!$K$22)</f>
        <v>0</v>
      </c>
      <c r="K26" s="46">
        <f>('stsenaariumid elekter'!F5*'tuul ühikväärtused'!$K$22)</f>
        <v>0</v>
      </c>
      <c r="L26" s="46">
        <f>('stsenaariumid elekter'!G5*'tuul ühikväärtused'!$K$22)</f>
        <v>0</v>
      </c>
      <c r="M26" s="46">
        <f>('stsenaariumid elekter'!H5*'tuul ühikväärtused'!$K$22)</f>
        <v>0</v>
      </c>
      <c r="N26" s="46">
        <f>('stsenaariumid elekter'!I5*'tuul ühikväärtused'!$K$22)</f>
        <v>2590.0000000000005</v>
      </c>
      <c r="O26" s="46">
        <f>('stsenaariumid elekter'!J5*'tuul ühikväärtused'!$K$22)</f>
        <v>0</v>
      </c>
      <c r="P26" s="10"/>
      <c r="Q26" s="41"/>
      <c r="R26" s="41"/>
      <c r="S26" s="41"/>
      <c r="T26" s="41"/>
      <c r="U26" s="41"/>
      <c r="V26" s="10"/>
      <c r="W26" s="41"/>
      <c r="X26" s="41"/>
      <c r="Y26" s="41"/>
      <c r="Z26" s="41"/>
    </row>
    <row r="27" spans="1:26" ht="45" x14ac:dyDescent="0.25">
      <c r="A27" s="23">
        <v>25</v>
      </c>
      <c r="B27" s="2" t="s">
        <v>9</v>
      </c>
      <c r="C27" s="122" t="s">
        <v>55</v>
      </c>
      <c r="D27" s="123" t="s">
        <v>66</v>
      </c>
      <c r="E27" s="2" t="s">
        <v>67</v>
      </c>
      <c r="F27" s="7" t="s">
        <v>30</v>
      </c>
      <c r="G27" s="5" t="s">
        <v>491</v>
      </c>
      <c r="H27" s="46">
        <f>('stsenaariumid elekter'!C5*'tuul ühikväärtused'!$K$22)</f>
        <v>0</v>
      </c>
      <c r="I27" s="46">
        <f>('stsenaariumid elekter'!D5*'tuul ühikväärtused'!$K$22)</f>
        <v>28000.000000000004</v>
      </c>
      <c r="J27" s="46">
        <f>('stsenaariumid elekter'!E5*'tuul ühikväärtused'!$K$22)</f>
        <v>0</v>
      </c>
      <c r="K27" s="46">
        <f>('stsenaariumid elekter'!F5*'tuul ühikväärtused'!$K$22)</f>
        <v>0</v>
      </c>
      <c r="L27" s="46">
        <f>('stsenaariumid elekter'!G5*'tuul ühikväärtused'!$K$22)</f>
        <v>0</v>
      </c>
      <c r="M27" s="46">
        <f>('stsenaariumid elekter'!H5*'tuul ühikväärtused'!$K$22)</f>
        <v>0</v>
      </c>
      <c r="N27" s="46">
        <f>('stsenaariumid elekter'!I5*'tuul ühikväärtused'!$K$22)</f>
        <v>2590.0000000000005</v>
      </c>
      <c r="O27" s="46">
        <f>('stsenaariumid elekter'!J5*'tuul ühikväärtused'!$K$22)</f>
        <v>0</v>
      </c>
      <c r="P27" s="10"/>
      <c r="Q27" s="41"/>
      <c r="R27" s="41"/>
      <c r="S27" s="41"/>
      <c r="T27" s="41"/>
      <c r="U27" s="41"/>
      <c r="V27" s="10"/>
      <c r="W27" s="41"/>
      <c r="X27" s="41"/>
      <c r="Y27" s="41"/>
      <c r="Z27" s="41"/>
    </row>
    <row r="28" spans="1:26" ht="30" x14ac:dyDescent="0.25">
      <c r="A28" s="23">
        <v>26</v>
      </c>
      <c r="B28" s="2" t="s">
        <v>9</v>
      </c>
      <c r="C28" s="122" t="s">
        <v>72</v>
      </c>
      <c r="D28" s="123" t="s">
        <v>73</v>
      </c>
      <c r="E28" s="2" t="s">
        <v>74</v>
      </c>
      <c r="F28" s="7" t="s">
        <v>13</v>
      </c>
      <c r="G28" s="6"/>
      <c r="H28" s="41"/>
      <c r="I28" s="41"/>
      <c r="J28" s="41"/>
      <c r="K28" s="41"/>
      <c r="L28" s="41"/>
      <c r="M28" s="41"/>
      <c r="N28" s="41"/>
      <c r="O28" s="41"/>
      <c r="P28" s="10"/>
      <c r="Q28" s="41"/>
      <c r="R28" s="41"/>
      <c r="S28" s="41"/>
      <c r="T28" s="41"/>
      <c r="U28" s="41"/>
      <c r="V28" s="10"/>
      <c r="W28" s="41"/>
      <c r="X28" s="41"/>
      <c r="Y28" s="41"/>
      <c r="Z28" s="41"/>
    </row>
    <row r="29" spans="1:26" ht="45" x14ac:dyDescent="0.25">
      <c r="A29" s="23">
        <v>27</v>
      </c>
      <c r="B29" s="2" t="s">
        <v>9</v>
      </c>
      <c r="C29" s="122" t="s">
        <v>72</v>
      </c>
      <c r="D29" s="123" t="s">
        <v>75</v>
      </c>
      <c r="E29" s="2" t="s">
        <v>76</v>
      </c>
      <c r="F29" s="7" t="s">
        <v>13</v>
      </c>
      <c r="G29" s="6"/>
      <c r="H29" s="41"/>
      <c r="I29" s="41"/>
      <c r="J29" s="41"/>
      <c r="K29" s="41"/>
      <c r="L29" s="41"/>
      <c r="M29" s="41"/>
      <c r="N29" s="41"/>
      <c r="O29" s="41"/>
      <c r="P29" s="10"/>
      <c r="Q29" s="41"/>
      <c r="R29" s="41"/>
      <c r="S29" s="41"/>
      <c r="T29" s="41"/>
      <c r="U29" s="41"/>
      <c r="V29" s="10"/>
      <c r="W29" s="41"/>
      <c r="X29" s="41"/>
      <c r="Y29" s="41"/>
      <c r="Z29" s="41"/>
    </row>
    <row r="30" spans="1:26" ht="30" x14ac:dyDescent="0.25">
      <c r="A30" s="23">
        <v>28</v>
      </c>
      <c r="B30" s="2" t="s">
        <v>9</v>
      </c>
      <c r="C30" s="122" t="s">
        <v>77</v>
      </c>
      <c r="D30" s="123" t="s">
        <v>78</v>
      </c>
      <c r="E30" s="2" t="s">
        <v>79</v>
      </c>
      <c r="F30" s="7" t="s">
        <v>48</v>
      </c>
      <c r="G30" s="6"/>
      <c r="H30" s="41"/>
      <c r="I30" s="41"/>
      <c r="J30" s="41"/>
      <c r="K30" s="41"/>
      <c r="L30" s="41"/>
      <c r="M30" s="41"/>
      <c r="N30" s="41"/>
      <c r="O30" s="41"/>
      <c r="P30" s="10"/>
      <c r="Q30" s="41"/>
      <c r="R30" s="41"/>
      <c r="S30" s="41"/>
      <c r="T30" s="41"/>
      <c r="U30" s="41"/>
      <c r="V30" s="10"/>
      <c r="W30" s="41"/>
      <c r="X30" s="41"/>
      <c r="Y30" s="41"/>
      <c r="Z30" s="41"/>
    </row>
    <row r="31" spans="1:26" ht="30" x14ac:dyDescent="0.25">
      <c r="A31" s="23">
        <v>29</v>
      </c>
      <c r="B31" s="2" t="s">
        <v>9</v>
      </c>
      <c r="C31" s="122" t="s">
        <v>55</v>
      </c>
      <c r="D31" s="123" t="s">
        <v>68</v>
      </c>
      <c r="E31" s="2" t="s">
        <v>69</v>
      </c>
      <c r="F31" s="7" t="s">
        <v>30</v>
      </c>
      <c r="G31" s="5" t="s">
        <v>491</v>
      </c>
      <c r="H31" s="46">
        <f>('stsenaariumid elekter'!C5*'tuul ühikväärtused'!$K$22)</f>
        <v>0</v>
      </c>
      <c r="I31" s="46">
        <f>('stsenaariumid elekter'!D5*'tuul ühikväärtused'!$K$22)</f>
        <v>28000.000000000004</v>
      </c>
      <c r="J31" s="46">
        <f>('stsenaariumid elekter'!E5*'tuul ühikväärtused'!$K$22)</f>
        <v>0</v>
      </c>
      <c r="K31" s="46">
        <f>('stsenaariumid elekter'!F5*'tuul ühikväärtused'!$K$22)</f>
        <v>0</v>
      </c>
      <c r="L31" s="46">
        <f>('stsenaariumid elekter'!G5*'tuul ühikväärtused'!$K$22)</f>
        <v>0</v>
      </c>
      <c r="M31" s="46">
        <f>('stsenaariumid elekter'!H5*'tuul ühikväärtused'!$K$22)</f>
        <v>0</v>
      </c>
      <c r="N31" s="46">
        <f>('stsenaariumid elekter'!I5*'tuul ühikväärtused'!$K$22)</f>
        <v>2590.0000000000005</v>
      </c>
      <c r="O31" s="46">
        <f>('stsenaariumid elekter'!J5*'tuul ühikväärtused'!$K$22)</f>
        <v>0</v>
      </c>
      <c r="P31" s="10"/>
      <c r="Q31" s="41"/>
      <c r="R31" s="41"/>
      <c r="S31" s="41"/>
      <c r="T31" s="41"/>
      <c r="U31" s="41"/>
      <c r="V31" s="10"/>
      <c r="W31" s="41"/>
      <c r="X31" s="41"/>
      <c r="Y31" s="41"/>
      <c r="Z31" s="41"/>
    </row>
    <row r="32" spans="1:26" ht="30" x14ac:dyDescent="0.25">
      <c r="A32" s="23">
        <v>30</v>
      </c>
      <c r="B32" s="2" t="s">
        <v>9</v>
      </c>
      <c r="C32" s="122" t="s">
        <v>55</v>
      </c>
      <c r="D32" s="123" t="s">
        <v>70</v>
      </c>
      <c r="E32" s="2" t="s">
        <v>71</v>
      </c>
      <c r="F32" s="7" t="s">
        <v>30</v>
      </c>
      <c r="G32" s="5" t="s">
        <v>491</v>
      </c>
      <c r="H32" s="46">
        <f>('stsenaariumid elekter'!C5*'tuul ühikväärtused'!$K$22)</f>
        <v>0</v>
      </c>
      <c r="I32" s="46">
        <f>('stsenaariumid elekter'!D5*'tuul ühikväärtused'!$K$22)</f>
        <v>28000.000000000004</v>
      </c>
      <c r="J32" s="46">
        <f>('stsenaariumid elekter'!E5*'tuul ühikväärtused'!$K$22)</f>
        <v>0</v>
      </c>
      <c r="K32" s="46">
        <f>('stsenaariumid elekter'!F5*'tuul ühikväärtused'!$K$22)</f>
        <v>0</v>
      </c>
      <c r="L32" s="46">
        <f>('stsenaariumid elekter'!G5*'tuul ühikväärtused'!$K$22)</f>
        <v>0</v>
      </c>
      <c r="M32" s="46">
        <f>('stsenaariumid elekter'!H5*'tuul ühikväärtused'!$K$22)</f>
        <v>0</v>
      </c>
      <c r="N32" s="46">
        <f>('stsenaariumid elekter'!I5*'tuul ühikväärtused'!$K$22)</f>
        <v>2590.0000000000005</v>
      </c>
      <c r="O32" s="46">
        <f>('stsenaariumid elekter'!J5*'tuul ühikväärtused'!$K$22)</f>
        <v>0</v>
      </c>
      <c r="P32" s="10"/>
      <c r="Q32" s="49"/>
      <c r="R32" s="49"/>
      <c r="S32" s="49"/>
      <c r="T32" s="49"/>
      <c r="U32" s="49"/>
      <c r="V32" s="10"/>
      <c r="W32" s="49"/>
      <c r="X32" s="49"/>
      <c r="Y32" s="49"/>
      <c r="Z32" s="49"/>
    </row>
    <row r="33" spans="1:26" ht="75" x14ac:dyDescent="0.25">
      <c r="A33" s="23">
        <v>31</v>
      </c>
      <c r="B33" s="2" t="s">
        <v>9</v>
      </c>
      <c r="C33" s="122" t="s">
        <v>80</v>
      </c>
      <c r="D33" s="123" t="s">
        <v>81</v>
      </c>
      <c r="E33" s="2" t="s">
        <v>82</v>
      </c>
      <c r="F33" s="7" t="s">
        <v>25</v>
      </c>
      <c r="G33" s="5" t="s">
        <v>486</v>
      </c>
      <c r="H33" s="46">
        <f>11180000/2</f>
        <v>5590000</v>
      </c>
      <c r="I33" s="46">
        <f>('stsenaariumid elekter'!D9*20)+('stsenaariumid elekter'!D27*(35/900))</f>
        <v>43460</v>
      </c>
      <c r="J33" s="46">
        <f>('stsenaariumid elekter'!E9*20)+('stsenaariumid elekter'!E27*0.039)</f>
        <v>17437.55</v>
      </c>
      <c r="K33" s="46">
        <f>('stsenaariumid elekter'!F9*20)+('stsenaariumid elekter'!F27*0.039)</f>
        <v>15180</v>
      </c>
      <c r="L33" s="46">
        <f>('stsenaariumid elekter'!G9*20)+('stsenaariumid elekter'!G27*0.039)</f>
        <v>5980</v>
      </c>
      <c r="M33" s="46">
        <f>('stsenaariumid elekter'!H9*20)+('stsenaariumid elekter'!H27*0.039)</f>
        <v>19720</v>
      </c>
      <c r="N33" s="46">
        <f>('stsenaariumid elekter'!I9*20)+('stsenaariumid elekter'!I27*0.039)</f>
        <v>44520</v>
      </c>
      <c r="O33" s="46">
        <f>('stsenaariumid elekter'!J9*20)+('stsenaariumid elekter'!J27*0.039)</f>
        <v>10320</v>
      </c>
      <c r="P33" s="10"/>
      <c r="Q33" s="41"/>
      <c r="R33" s="41"/>
      <c r="S33" s="41"/>
      <c r="T33" s="41"/>
      <c r="U33" s="41"/>
      <c r="V33" s="10"/>
      <c r="W33" s="41"/>
      <c r="X33" s="41"/>
      <c r="Y33" s="41"/>
      <c r="Z33" s="41"/>
    </row>
    <row r="34" spans="1:26" ht="45" x14ac:dyDescent="0.25">
      <c r="A34" s="23">
        <v>32</v>
      </c>
      <c r="B34" s="2" t="s">
        <v>9</v>
      </c>
      <c r="C34" s="122" t="s">
        <v>83</v>
      </c>
      <c r="D34" s="123" t="s">
        <v>84</v>
      </c>
      <c r="E34" s="2" t="s">
        <v>85</v>
      </c>
      <c r="F34" s="7" t="s">
        <v>86</v>
      </c>
      <c r="G34" s="5" t="s">
        <v>488</v>
      </c>
      <c r="H34" s="42" t="s">
        <v>487</v>
      </c>
      <c r="I34" s="42" t="s">
        <v>487</v>
      </c>
      <c r="J34" s="42" t="s">
        <v>487</v>
      </c>
      <c r="K34" s="42" t="s">
        <v>487</v>
      </c>
      <c r="L34" s="42" t="s">
        <v>487</v>
      </c>
      <c r="M34" s="42" t="s">
        <v>487</v>
      </c>
      <c r="N34" s="42" t="s">
        <v>487</v>
      </c>
      <c r="O34" s="42" t="s">
        <v>487</v>
      </c>
      <c r="P34" s="10"/>
      <c r="Q34" s="41"/>
      <c r="R34" s="41"/>
      <c r="S34" s="41"/>
      <c r="T34" s="41"/>
      <c r="U34" s="41"/>
      <c r="V34" s="8" t="s">
        <v>472</v>
      </c>
      <c r="W34" s="107">
        <f>SUM('stsenaariumid gaasivõrgu dekarb'!C6:C11)</f>
        <v>0.70752837875279151</v>
      </c>
      <c r="X34" s="107">
        <f>SUM('stsenaariumid gaasivõrgu dekarb'!E6:E11)</f>
        <v>1.2522342611057322</v>
      </c>
      <c r="Y34" s="107">
        <f>SUM('stsenaariumid gaasivõrgu dekarb'!G6:G11)</f>
        <v>0.70752837875279062</v>
      </c>
      <c r="Z34" s="107">
        <f>SUM('stsenaariumid gaasivõrgu dekarb'!I6:I11)</f>
        <v>3.1310577905174992</v>
      </c>
    </row>
    <row r="35" spans="1:26" ht="30" x14ac:dyDescent="0.25">
      <c r="A35" s="23">
        <v>33</v>
      </c>
      <c r="B35" s="2" t="s">
        <v>9</v>
      </c>
      <c r="C35" s="122" t="s">
        <v>87</v>
      </c>
      <c r="D35" s="123" t="s">
        <v>88</v>
      </c>
      <c r="E35" s="2" t="s">
        <v>89</v>
      </c>
      <c r="F35" s="7" t="s">
        <v>25</v>
      </c>
      <c r="G35" s="5" t="s">
        <v>489</v>
      </c>
      <c r="H35" s="46">
        <f ca="1">'õhuheitmed põlevkivielektrijam'!K33</f>
        <v>1598.529</v>
      </c>
      <c r="I35" s="46">
        <f ca="1">($H$35/'stsenaariumid elekter'!$C$20)*'stsenaariumid elekter'!D20</f>
        <v>2597.4198660968664</v>
      </c>
      <c r="J35" s="46">
        <f ca="1">($H$35/'stsenaariumid elekter'!$C$20)*'stsenaariumid elekter'!E20</f>
        <v>279.3251054131054</v>
      </c>
      <c r="K35" s="46">
        <f ca="1">($H$35/'stsenaariumid elekter'!$C$20)*'stsenaariumid elekter'!F20</f>
        <v>301.33713817663818</v>
      </c>
      <c r="L35" s="46">
        <f ca="1">($H$35/'stsenaariumid elekter'!$C$20)*'stsenaariumid elekter'!G20</f>
        <v>1736.6734814814815</v>
      </c>
      <c r="M35" s="46">
        <f ca="1">($H$35/'stsenaariumid elekter'!$C$20)*'stsenaariumid elekter'!H20</f>
        <v>1226.60154985755</v>
      </c>
      <c r="N35" s="46">
        <f ca="1">($H$35/'stsenaariumid elekter'!$C$20)*'stsenaariumid elekter'!I20</f>
        <v>1561.336254985755</v>
      </c>
      <c r="O35" s="46">
        <f ca="1">($H$35/'stsenaariumid elekter'!$C$20)*'stsenaariumid elekter'!J20</f>
        <v>1409.5291324786326</v>
      </c>
      <c r="P35" s="10"/>
      <c r="Q35" s="41"/>
      <c r="R35" s="41"/>
      <c r="S35" s="41"/>
      <c r="T35" s="41"/>
      <c r="U35" s="41"/>
      <c r="V35" s="10"/>
      <c r="W35" s="41"/>
      <c r="X35" s="41"/>
      <c r="Y35" s="41"/>
      <c r="Z35" s="41"/>
    </row>
    <row r="36" spans="1:26" ht="30" x14ac:dyDescent="0.25">
      <c r="A36" s="23">
        <v>34</v>
      </c>
      <c r="B36" s="2" t="s">
        <v>9</v>
      </c>
      <c r="C36" s="122" t="s">
        <v>95</v>
      </c>
      <c r="D36" s="123" t="s">
        <v>96</v>
      </c>
      <c r="E36" s="2" t="s">
        <v>97</v>
      </c>
      <c r="F36" s="7" t="s">
        <v>25</v>
      </c>
      <c r="G36" s="6"/>
      <c r="H36" s="41"/>
      <c r="I36" s="41"/>
      <c r="J36" s="41"/>
      <c r="K36" s="41"/>
      <c r="L36" s="41"/>
      <c r="M36" s="41"/>
      <c r="N36" s="41"/>
      <c r="O36" s="41"/>
      <c r="P36" s="10"/>
      <c r="Q36" s="41"/>
      <c r="R36" s="41"/>
      <c r="S36" s="41"/>
      <c r="T36" s="41"/>
      <c r="U36" s="41"/>
      <c r="V36" s="10"/>
      <c r="W36" s="41"/>
      <c r="X36" s="41"/>
      <c r="Y36" s="41"/>
      <c r="Z36" s="41"/>
    </row>
    <row r="37" spans="1:26" ht="45" x14ac:dyDescent="0.25">
      <c r="A37" s="23">
        <v>35</v>
      </c>
      <c r="B37" s="2" t="s">
        <v>9</v>
      </c>
      <c r="C37" s="122" t="s">
        <v>87</v>
      </c>
      <c r="D37" s="123" t="s">
        <v>90</v>
      </c>
      <c r="E37" s="2" t="s">
        <v>91</v>
      </c>
      <c r="F37" s="7" t="s">
        <v>25</v>
      </c>
      <c r="G37" s="5" t="s">
        <v>490</v>
      </c>
      <c r="H37" s="46">
        <f ca="1">'õhuheitmed põlevkivielektrijam'!K34</f>
        <v>855.971</v>
      </c>
      <c r="I37" s="46">
        <f ca="1">($H$37/'stsenaariumid elekter'!$C$20)*'stsenaariumid elekter'!D20</f>
        <v>1390.8512640075974</v>
      </c>
      <c r="J37" s="46">
        <f ca="1">($H$37/'stsenaariumid elekter'!$C$20)*'stsenaariumid elekter'!E20</f>
        <v>149.57138081671414</v>
      </c>
      <c r="K37" s="46">
        <f ca="1">($H$37/'stsenaariumid elekter'!$C$20)*'stsenaariumid elekter'!F20</f>
        <v>161.35825593542259</v>
      </c>
      <c r="L37" s="46">
        <f ca="1">($H$37/'stsenaariumid elekter'!$C$20)*'stsenaariumid elekter'!G20</f>
        <v>929.94380246913579</v>
      </c>
      <c r="M37" s="46">
        <f ca="1">($H$37/'stsenaariumid elekter'!$C$20)*'stsenaariumid elekter'!H20</f>
        <v>656.81345489078819</v>
      </c>
      <c r="N37" s="46">
        <f ca="1">($H$37/'stsenaariumid elekter'!$C$20)*'stsenaariumid elekter'!I20</f>
        <v>836.05524548907886</v>
      </c>
      <c r="O37" s="46">
        <f ca="1">($H$37/'stsenaariumid elekter'!$C$20)*'stsenaariumid elekter'!J20</f>
        <v>754.76645156695156</v>
      </c>
      <c r="P37" s="10"/>
      <c r="Q37" s="41"/>
      <c r="R37" s="41"/>
      <c r="S37" s="41"/>
      <c r="T37" s="41"/>
      <c r="U37" s="41"/>
      <c r="V37" s="10"/>
      <c r="W37" s="41"/>
      <c r="X37" s="41"/>
      <c r="Y37" s="41"/>
      <c r="Z37" s="41"/>
    </row>
    <row r="38" spans="1:26" ht="30" x14ac:dyDescent="0.25">
      <c r="A38" s="23">
        <v>36</v>
      </c>
      <c r="B38" s="2" t="s">
        <v>9</v>
      </c>
      <c r="C38" s="122" t="s">
        <v>92</v>
      </c>
      <c r="D38" s="123" t="s">
        <v>93</v>
      </c>
      <c r="E38" s="2" t="s">
        <v>94</v>
      </c>
      <c r="F38" s="7" t="s">
        <v>48</v>
      </c>
      <c r="G38" s="5" t="s">
        <v>491</v>
      </c>
      <c r="H38" s="46">
        <f>('stsenaariumid elekter'!C5*'tuul ühikväärtused'!$K$22)</f>
        <v>0</v>
      </c>
      <c r="I38" s="46">
        <f>('stsenaariumid elekter'!D5*'tuul ühikväärtused'!$K$22)</f>
        <v>28000.000000000004</v>
      </c>
      <c r="J38" s="46">
        <f>('stsenaariumid elekter'!E5*'tuul ühikväärtused'!$K$22)</f>
        <v>0</v>
      </c>
      <c r="K38" s="46">
        <f>('stsenaariumid elekter'!F5*'tuul ühikväärtused'!$K$22)</f>
        <v>0</v>
      </c>
      <c r="L38" s="46">
        <f>('stsenaariumid elekter'!G5*'tuul ühikväärtused'!$K$22)</f>
        <v>0</v>
      </c>
      <c r="M38" s="46">
        <f>('stsenaariumid elekter'!H5*'tuul ühikväärtused'!$K$22)</f>
        <v>0</v>
      </c>
      <c r="N38" s="46">
        <f>('stsenaariumid elekter'!I5*'tuul ühikväärtused'!$K$22)</f>
        <v>2590.0000000000005</v>
      </c>
      <c r="O38" s="46">
        <f>('stsenaariumid elekter'!J5*'tuul ühikväärtused'!$K$22)</f>
        <v>0</v>
      </c>
      <c r="P38" s="10"/>
      <c r="Q38" s="41"/>
      <c r="R38" s="41"/>
      <c r="S38" s="41"/>
      <c r="T38" s="41"/>
      <c r="U38" s="41"/>
      <c r="V38" s="10"/>
      <c r="W38" s="41"/>
      <c r="X38" s="41"/>
      <c r="Y38" s="41"/>
      <c r="Z38" s="41"/>
    </row>
    <row r="39" spans="1:26" ht="30" x14ac:dyDescent="0.25">
      <c r="A39" s="23">
        <v>37</v>
      </c>
      <c r="B39" s="2" t="s">
        <v>9</v>
      </c>
      <c r="C39" s="122" t="s">
        <v>98</v>
      </c>
      <c r="D39" s="123" t="s">
        <v>99</v>
      </c>
      <c r="E39" s="2" t="s">
        <v>100</v>
      </c>
      <c r="F39" s="7" t="s">
        <v>25</v>
      </c>
      <c r="G39" s="5" t="s">
        <v>492</v>
      </c>
      <c r="H39" s="46">
        <v>2914000</v>
      </c>
      <c r="I39" s="46">
        <v>0</v>
      </c>
      <c r="J39" s="46">
        <v>0</v>
      </c>
      <c r="K39" s="46">
        <v>0</v>
      </c>
      <c r="L39" s="46">
        <v>0</v>
      </c>
      <c r="M39" s="46">
        <v>0</v>
      </c>
      <c r="N39" s="46">
        <v>0</v>
      </c>
      <c r="O39" s="46">
        <v>0</v>
      </c>
      <c r="P39" s="8" t="s">
        <v>499</v>
      </c>
      <c r="Q39" s="111">
        <v>206</v>
      </c>
      <c r="R39" s="111">
        <v>0</v>
      </c>
      <c r="S39" s="111">
        <v>0</v>
      </c>
      <c r="T39" s="111">
        <v>0</v>
      </c>
      <c r="U39" s="111">
        <v>0</v>
      </c>
      <c r="V39" s="10"/>
      <c r="W39" s="49"/>
      <c r="X39" s="49"/>
      <c r="Y39" s="49"/>
      <c r="Z39" s="49"/>
    </row>
    <row r="40" spans="1:26" ht="45" x14ac:dyDescent="0.25">
      <c r="A40" s="23">
        <v>38</v>
      </c>
      <c r="B40" s="2" t="s">
        <v>9</v>
      </c>
      <c r="C40" s="122" t="s">
        <v>101</v>
      </c>
      <c r="D40" s="123" t="s">
        <v>102</v>
      </c>
      <c r="E40" s="2" t="s">
        <v>103</v>
      </c>
      <c r="F40" s="7" t="s">
        <v>30</v>
      </c>
      <c r="G40" s="5" t="s">
        <v>496</v>
      </c>
      <c r="H40" s="46">
        <f>('stsenaariumid elekter'!$C$3*'tuul ühikväärtused'!$K$13)+('stsenaariumid elekter'!$C$7*'päike ühikväärtused'!$G$12)</f>
        <v>1071.3856425568033</v>
      </c>
      <c r="I40" s="46">
        <f>('stsenaariumid elekter'!$D$3*'tuul ühikväärtused'!$K$13)+('stsenaariumid elekter'!$D$7*'päike ühikväärtused'!$G$12)</f>
        <v>1747.0736968427427</v>
      </c>
      <c r="J40" s="46">
        <f>('stsenaariumid elekter'!$E$3*'tuul ühikväärtused'!$K$13)+('stsenaariumid elekter'!$E$7*'päike ühikväärtused'!$G$12)</f>
        <v>4841.3035784809017</v>
      </c>
      <c r="K40" s="46">
        <f>('stsenaariumid elekter'!$F$3*'tuul ühikväärtused'!$K$13)+('stsenaariumid elekter'!$F$7*'päike ühikväärtused'!$G$12)</f>
        <v>4817.5236317195886</v>
      </c>
      <c r="L40" s="46">
        <f>('stsenaariumid elekter'!$G$3*'tuul ühikväärtused'!$K$13)+('stsenaariumid elekter'!$G$7*'päike ühikväärtused'!$G$12)</f>
        <v>4836.5475891286387</v>
      </c>
      <c r="M40" s="46">
        <f>('stsenaariumid elekter'!$H$3*'tuul ühikväärtused'!$K$13)+('stsenaariumid elekter'!$H$7*'päike ühikväärtused'!$G$12)</f>
        <v>4820.930907673448</v>
      </c>
      <c r="N40" s="46">
        <f>('stsenaariumid elekter'!$I$3*'tuul ühikväärtused'!$K$13)+('stsenaariumid elekter'!$I$7*'päike ühikväärtused'!$G$12)</f>
        <v>4884.1784675669714</v>
      </c>
      <c r="O40" s="46">
        <f>('stsenaariumid elekter'!$J$3*'tuul ühikväärtused'!$K$13)+('stsenaariumid elekter'!$J$7*'päike ühikväärtused'!$G$12)</f>
        <v>4829.5555749316563</v>
      </c>
      <c r="P40" s="10"/>
      <c r="Q40" s="41"/>
      <c r="R40" s="41"/>
      <c r="S40" s="41"/>
      <c r="T40" s="41"/>
      <c r="U40" s="41"/>
      <c r="V40" s="10"/>
      <c r="W40" s="41"/>
      <c r="X40" s="41"/>
      <c r="Y40" s="41"/>
      <c r="Z40" s="41"/>
    </row>
    <row r="41" spans="1:26" ht="75" x14ac:dyDescent="0.25">
      <c r="A41" s="23">
        <v>39</v>
      </c>
      <c r="B41" s="2" t="s">
        <v>9</v>
      </c>
      <c r="C41" s="122" t="s">
        <v>107</v>
      </c>
      <c r="D41" s="123" t="s">
        <v>108</v>
      </c>
      <c r="E41" s="2" t="s">
        <v>109</v>
      </c>
      <c r="F41" s="7" t="s">
        <v>48</v>
      </c>
      <c r="G41" s="6" t="s">
        <v>110</v>
      </c>
      <c r="H41" s="47"/>
      <c r="I41" s="47"/>
      <c r="J41" s="47"/>
      <c r="K41" s="47"/>
      <c r="L41" s="47"/>
      <c r="M41" s="47"/>
      <c r="N41" s="47"/>
      <c r="O41" s="47"/>
      <c r="P41" s="10"/>
      <c r="Q41" s="41"/>
      <c r="R41" s="41"/>
      <c r="S41" s="41"/>
      <c r="T41" s="41"/>
      <c r="U41" s="41"/>
      <c r="V41" s="10"/>
      <c r="W41" s="41"/>
      <c r="X41" s="41"/>
      <c r="Y41" s="41"/>
      <c r="Z41" s="41"/>
    </row>
    <row r="42" spans="1:26" ht="45" x14ac:dyDescent="0.25">
      <c r="A42" s="23">
        <v>40</v>
      </c>
      <c r="B42" s="2" t="s">
        <v>9</v>
      </c>
      <c r="C42" s="122" t="s">
        <v>111</v>
      </c>
      <c r="D42" s="123" t="s">
        <v>112</v>
      </c>
      <c r="E42" s="2" t="s">
        <v>113</v>
      </c>
      <c r="F42" s="7" t="s">
        <v>30</v>
      </c>
      <c r="G42" s="5" t="s">
        <v>495</v>
      </c>
      <c r="H42" s="46">
        <f>('stsenaariumid elekter'!C3*'tuul ühikväärtused'!$K$13)+('stsenaariumid elekter'!C5*'tuul ühikväärtused'!$K$22)+('stsenaariumid elekter'!C7*'päike ühikväärtused'!$G$12)</f>
        <v>1071.3856425568033</v>
      </c>
      <c r="I42" s="46">
        <f>('stsenaariumid elekter'!D3*'tuul ühikväärtused'!$K$13)+('stsenaariumid elekter'!D5*'tuul ühikväärtused'!$K$22)+('stsenaariumid elekter'!D7*'päike ühikväärtused'!$G$12)</f>
        <v>29747.073696842745</v>
      </c>
      <c r="J42" s="46">
        <f>('stsenaariumid elekter'!E3*'tuul ühikväärtused'!$K$13)+('stsenaariumid elekter'!E5*'tuul ühikväärtused'!$K$22)+('stsenaariumid elekter'!E7*'päike ühikväärtused'!$G$12)</f>
        <v>4841.3035784809017</v>
      </c>
      <c r="K42" s="46">
        <f>('stsenaariumid elekter'!F3*'tuul ühikväärtused'!$K$13)+('stsenaariumid elekter'!F5*'tuul ühikväärtused'!$K$22)+('stsenaariumid elekter'!F7*'päike ühikväärtused'!$G$12)</f>
        <v>4817.5236317195886</v>
      </c>
      <c r="L42" s="46">
        <f>('stsenaariumid elekter'!G3*'tuul ühikväärtused'!$K$13)+('stsenaariumid elekter'!G5*'tuul ühikväärtused'!$K$22)+('stsenaariumid elekter'!G7*'päike ühikväärtused'!$G$12)</f>
        <v>4836.5475891286387</v>
      </c>
      <c r="M42" s="46">
        <f>('stsenaariumid elekter'!H3*'tuul ühikväärtused'!$K$13)+('stsenaariumid elekter'!H5*'tuul ühikväärtused'!$K$22)+('stsenaariumid elekter'!H7*'päike ühikväärtused'!$G$12)</f>
        <v>4820.930907673448</v>
      </c>
      <c r="N42" s="46">
        <f>('stsenaariumid elekter'!I3*'tuul ühikväärtused'!$K$13)+('stsenaariumid elekter'!I5*'tuul ühikväärtused'!$K$22)+('stsenaariumid elekter'!I7*'päike ühikväärtused'!$G$12)</f>
        <v>7474.1784675669714</v>
      </c>
      <c r="O42" s="46">
        <f>('stsenaariumid elekter'!J3*'tuul ühikväärtused'!$K$13)+('stsenaariumid elekter'!J5*'tuul ühikväärtused'!$K$22)+('stsenaariumid elekter'!J7*'päike ühikväärtused'!$G$12)</f>
        <v>4829.5555749316563</v>
      </c>
      <c r="P42" s="10"/>
      <c r="Q42" s="41"/>
      <c r="R42" s="41"/>
      <c r="S42" s="41"/>
      <c r="T42" s="41"/>
      <c r="U42" s="41"/>
      <c r="V42" s="10"/>
      <c r="W42" s="41"/>
      <c r="X42" s="41"/>
      <c r="Y42" s="41"/>
      <c r="Z42" s="41"/>
    </row>
    <row r="43" spans="1:26" ht="45.75" thickBot="1" x14ac:dyDescent="0.3">
      <c r="A43" s="11">
        <v>41</v>
      </c>
      <c r="B43" s="24" t="s">
        <v>9</v>
      </c>
      <c r="C43" s="124" t="s">
        <v>114</v>
      </c>
      <c r="D43" s="125" t="s">
        <v>115</v>
      </c>
      <c r="E43" s="24" t="s">
        <v>116</v>
      </c>
      <c r="F43" s="25" t="s">
        <v>30</v>
      </c>
      <c r="G43" s="5" t="s">
        <v>497</v>
      </c>
      <c r="H43" s="126">
        <f>('stsenaariumid elekter'!C3*'tuul ühikväärtused'!$K$13)+('stsenaariumid elekter'!C5*'tuul ühikväärtused'!$K$22)+('stsenaariumid elekter'!C7*'päike ühikväärtused'!$G$12)</f>
        <v>1071.3856425568033</v>
      </c>
      <c r="I43" s="126">
        <f>('stsenaariumid elekter'!D3*'tuul ühikväärtused'!$K$13)+('stsenaariumid elekter'!D5*'tuul ühikväärtused'!$K$22)+('stsenaariumid elekter'!D7*'päike ühikväärtused'!$G$12)</f>
        <v>29747.073696842745</v>
      </c>
      <c r="J43" s="126">
        <f>('stsenaariumid elekter'!E3*'tuul ühikväärtused'!$K$13)+('stsenaariumid elekter'!E5*'tuul ühikväärtused'!$K$22)+('stsenaariumid elekter'!E7*'päike ühikväärtused'!$G$12)</f>
        <v>4841.3035784809017</v>
      </c>
      <c r="K43" s="126">
        <f>('stsenaariumid elekter'!F3*'tuul ühikväärtused'!$K$13)+('stsenaariumid elekter'!F5*'tuul ühikväärtused'!$K$22)+('stsenaariumid elekter'!F7*'päike ühikväärtused'!$G$12)</f>
        <v>4817.5236317195886</v>
      </c>
      <c r="L43" s="126">
        <f>('stsenaariumid elekter'!G3*'tuul ühikväärtused'!$K$13)+('stsenaariumid elekter'!G5*'tuul ühikväärtused'!$K$22)+('stsenaariumid elekter'!G7*'päike ühikväärtused'!$G$12)</f>
        <v>4836.5475891286387</v>
      </c>
      <c r="M43" s="126">
        <f>('stsenaariumid elekter'!H3*'tuul ühikväärtused'!$K$13)+('stsenaariumid elekter'!H5*'tuul ühikväärtused'!$K$22)+('stsenaariumid elekter'!H7*'päike ühikväärtused'!$G$12)</f>
        <v>4820.930907673448</v>
      </c>
      <c r="N43" s="126">
        <f>('stsenaariumid elekter'!I3*'tuul ühikväärtused'!$K$13)+('stsenaariumid elekter'!I5*'tuul ühikväärtused'!$K$22)+('stsenaariumid elekter'!I7*'päike ühikväärtused'!$G$12)</f>
        <v>7474.1784675669714</v>
      </c>
      <c r="O43" s="126">
        <f>('stsenaariumid elekter'!J3*'tuul ühikväärtused'!$K$13)+('stsenaariumid elekter'!J5*'tuul ühikväärtused'!$K$22)+('stsenaariumid elekter'!J7*'päike ühikväärtused'!$G$12)</f>
        <v>4829.5555749316563</v>
      </c>
      <c r="P43" s="13"/>
      <c r="Q43" s="44"/>
      <c r="R43" s="44"/>
      <c r="S43" s="44"/>
      <c r="T43" s="44"/>
      <c r="U43" s="44"/>
      <c r="V43" s="18"/>
      <c r="W43" s="44"/>
      <c r="X43" s="44"/>
      <c r="Y43" s="44"/>
      <c r="Z43" s="44"/>
    </row>
  </sheetData>
  <autoFilter ref="A3:Z43" xr:uid="{63BD6CCD-3239-46B7-B6DB-DDCDB53B3CEC}">
    <sortState xmlns:xlrd2="http://schemas.microsoft.com/office/spreadsheetml/2017/richdata2" ref="A4:Z43">
      <sortCondition ref="A3:A43"/>
    </sortState>
  </autoFilter>
  <mergeCells count="7">
    <mergeCell ref="W2:Z2"/>
    <mergeCell ref="V1:Z1"/>
    <mergeCell ref="I2:O2"/>
    <mergeCell ref="P1:U1"/>
    <mergeCell ref="B1:F1"/>
    <mergeCell ref="G1:O1"/>
    <mergeCell ref="Q2:U2"/>
  </mergeCells>
  <phoneticPr fontId="16"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CA137-71FC-417E-8D2C-D77404E84F35}">
  <dimension ref="A1:D15"/>
  <sheetViews>
    <sheetView workbookViewId="0">
      <selection activeCell="C2" sqref="C2:C5"/>
    </sheetView>
  </sheetViews>
  <sheetFormatPr defaultRowHeight="15" x14ac:dyDescent="0.25"/>
  <cols>
    <col min="1" max="1" width="21.5703125" bestFit="1" customWidth="1"/>
    <col min="2" max="2" width="22.140625" bestFit="1" customWidth="1"/>
    <col min="3" max="3" width="31.42578125" bestFit="1" customWidth="1"/>
    <col min="4" max="4" width="53.5703125" bestFit="1" customWidth="1"/>
  </cols>
  <sheetData>
    <row r="1" spans="1:4" x14ac:dyDescent="0.25">
      <c r="A1" s="14" t="s">
        <v>125</v>
      </c>
      <c r="B1" s="15" t="s">
        <v>139</v>
      </c>
      <c r="C1" s="16" t="s">
        <v>148</v>
      </c>
      <c r="D1" s="17" t="s">
        <v>153</v>
      </c>
    </row>
    <row r="2" spans="1:4" x14ac:dyDescent="0.25">
      <c r="A2" t="s">
        <v>126</v>
      </c>
      <c r="B2" t="s">
        <v>140</v>
      </c>
      <c r="C2" t="s">
        <v>149</v>
      </c>
      <c r="D2" t="s">
        <v>155</v>
      </c>
    </row>
    <row r="3" spans="1:4" x14ac:dyDescent="0.25">
      <c r="A3" t="s">
        <v>127</v>
      </c>
      <c r="B3" t="s">
        <v>141</v>
      </c>
      <c r="C3" t="s">
        <v>150</v>
      </c>
      <c r="D3" t="s">
        <v>156</v>
      </c>
    </row>
    <row r="4" spans="1:4" x14ac:dyDescent="0.25">
      <c r="A4" t="s">
        <v>128</v>
      </c>
      <c r="B4" t="s">
        <v>142</v>
      </c>
      <c r="C4" t="s">
        <v>151</v>
      </c>
      <c r="D4" t="s">
        <v>157</v>
      </c>
    </row>
    <row r="5" spans="1:4" x14ac:dyDescent="0.25">
      <c r="A5" t="s">
        <v>129</v>
      </c>
      <c r="B5" t="s">
        <v>143</v>
      </c>
      <c r="C5" t="s">
        <v>152</v>
      </c>
      <c r="D5" t="s">
        <v>158</v>
      </c>
    </row>
    <row r="6" spans="1:4" x14ac:dyDescent="0.25">
      <c r="A6" t="s">
        <v>130</v>
      </c>
      <c r="B6" t="s">
        <v>144</v>
      </c>
      <c r="D6" t="s">
        <v>159</v>
      </c>
    </row>
    <row r="7" spans="1:4" x14ac:dyDescent="0.25">
      <c r="A7" t="s">
        <v>131</v>
      </c>
      <c r="B7" t="s">
        <v>145</v>
      </c>
      <c r="D7" t="s">
        <v>162</v>
      </c>
    </row>
    <row r="8" spans="1:4" x14ac:dyDescent="0.25">
      <c r="A8" t="s">
        <v>132</v>
      </c>
      <c r="B8" t="s">
        <v>146</v>
      </c>
    </row>
    <row r="9" spans="1:4" x14ac:dyDescent="0.25">
      <c r="A9" t="s">
        <v>133</v>
      </c>
      <c r="B9" t="s">
        <v>147</v>
      </c>
    </row>
    <row r="10" spans="1:4" x14ac:dyDescent="0.25">
      <c r="A10" t="s">
        <v>134</v>
      </c>
    </row>
    <row r="11" spans="1:4" x14ac:dyDescent="0.25">
      <c r="A11" t="s">
        <v>135</v>
      </c>
    </row>
    <row r="12" spans="1:4" x14ac:dyDescent="0.25">
      <c r="A12" t="s">
        <v>136</v>
      </c>
    </row>
    <row r="13" spans="1:4" x14ac:dyDescent="0.25">
      <c r="A13" t="s">
        <v>154</v>
      </c>
    </row>
    <row r="14" spans="1:4" x14ac:dyDescent="0.25">
      <c r="A14" t="s">
        <v>137</v>
      </c>
    </row>
    <row r="15" spans="1:4" x14ac:dyDescent="0.25">
      <c r="A15" t="s">
        <v>138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F095A-604D-4563-BA03-CC4353472FC3}">
  <dimension ref="A1:J41"/>
  <sheetViews>
    <sheetView zoomScaleNormal="100" workbookViewId="0">
      <selection activeCell="B39" sqref="B39"/>
    </sheetView>
  </sheetViews>
  <sheetFormatPr defaultRowHeight="15" x14ac:dyDescent="0.25"/>
  <cols>
    <col min="1" max="2" width="21.28515625" customWidth="1"/>
    <col min="3" max="3" width="20.7109375" customWidth="1"/>
    <col min="4" max="4" width="20.7109375" style="27" customWidth="1"/>
    <col min="5" max="10" width="20.7109375" customWidth="1"/>
    <col min="11" max="12" width="15.85546875" bestFit="1" customWidth="1"/>
    <col min="13" max="30" width="30.5703125" customWidth="1"/>
  </cols>
  <sheetData>
    <row r="1" spans="1:10" ht="15" customHeight="1" x14ac:dyDescent="0.25">
      <c r="A1" s="4"/>
      <c r="B1" s="4"/>
      <c r="C1" s="53"/>
      <c r="D1" s="144" t="s">
        <v>344</v>
      </c>
      <c r="E1" s="145"/>
      <c r="F1" s="145"/>
      <c r="G1" s="145"/>
      <c r="H1" s="145"/>
      <c r="I1" s="145"/>
      <c r="J1" s="145"/>
    </row>
    <row r="2" spans="1:10" ht="45" x14ac:dyDescent="0.25">
      <c r="A2" s="53" t="s">
        <v>331</v>
      </c>
      <c r="B2" s="53" t="s">
        <v>342</v>
      </c>
      <c r="C2" s="53" t="s">
        <v>332</v>
      </c>
      <c r="D2" s="53" t="s">
        <v>324</v>
      </c>
      <c r="E2" s="53" t="s">
        <v>325</v>
      </c>
      <c r="F2" s="53" t="s">
        <v>326</v>
      </c>
      <c r="G2" s="53" t="s">
        <v>327</v>
      </c>
      <c r="H2" s="53" t="s">
        <v>328</v>
      </c>
      <c r="I2" s="53" t="s">
        <v>329</v>
      </c>
      <c r="J2" s="53" t="s">
        <v>330</v>
      </c>
    </row>
    <row r="3" spans="1:10" x14ac:dyDescent="0.25">
      <c r="A3" s="3" t="s">
        <v>126</v>
      </c>
      <c r="B3" s="57" t="s">
        <v>336</v>
      </c>
      <c r="C3" s="59">
        <v>329</v>
      </c>
      <c r="D3" s="59">
        <v>529</v>
      </c>
      <c r="E3" s="59">
        <v>1479</v>
      </c>
      <c r="F3" s="59">
        <v>1479</v>
      </c>
      <c r="G3" s="59">
        <v>1479</v>
      </c>
      <c r="H3" s="59">
        <v>1479</v>
      </c>
      <c r="I3" s="59">
        <v>1479</v>
      </c>
      <c r="J3" s="59">
        <v>1479</v>
      </c>
    </row>
    <row r="4" spans="1:10" x14ac:dyDescent="0.25">
      <c r="A4" s="3" t="s">
        <v>126</v>
      </c>
      <c r="B4" s="57" t="s">
        <v>343</v>
      </c>
      <c r="C4" s="59">
        <v>824</v>
      </c>
      <c r="D4" s="59">
        <v>3994</v>
      </c>
      <c r="E4" s="59">
        <v>3795</v>
      </c>
      <c r="F4" s="60">
        <v>2640</v>
      </c>
      <c r="G4" s="59">
        <v>3750</v>
      </c>
      <c r="H4" s="59">
        <v>3712</v>
      </c>
      <c r="I4" s="59">
        <v>3821</v>
      </c>
      <c r="J4" s="59">
        <v>3885</v>
      </c>
    </row>
    <row r="5" spans="1:10" x14ac:dyDescent="0.25">
      <c r="A5" s="3" t="s">
        <v>127</v>
      </c>
      <c r="B5" s="57" t="s">
        <v>336</v>
      </c>
      <c r="C5" s="61">
        <v>0</v>
      </c>
      <c r="D5" s="59">
        <v>2000</v>
      </c>
      <c r="E5" s="61">
        <v>0</v>
      </c>
      <c r="F5" s="61">
        <v>0</v>
      </c>
      <c r="G5" s="61">
        <v>0</v>
      </c>
      <c r="H5" s="61">
        <v>0</v>
      </c>
      <c r="I5" s="59">
        <v>185</v>
      </c>
      <c r="J5" s="61">
        <v>0</v>
      </c>
    </row>
    <row r="6" spans="1:10" x14ac:dyDescent="0.25">
      <c r="A6" s="3" t="s">
        <v>127</v>
      </c>
      <c r="B6" s="57" t="s">
        <v>343</v>
      </c>
      <c r="C6" s="61">
        <v>0</v>
      </c>
      <c r="D6" s="59">
        <v>12550</v>
      </c>
      <c r="E6" s="61">
        <v>5594</v>
      </c>
      <c r="F6" s="62">
        <v>321</v>
      </c>
      <c r="G6" s="61">
        <v>6079</v>
      </c>
      <c r="H6" s="61">
        <v>6881</v>
      </c>
      <c r="I6" s="59">
        <v>7008</v>
      </c>
      <c r="J6" s="61">
        <v>7417</v>
      </c>
    </row>
    <row r="7" spans="1:10" x14ac:dyDescent="0.25">
      <c r="A7" s="3" t="s">
        <v>128</v>
      </c>
      <c r="B7" s="57" t="s">
        <v>336</v>
      </c>
      <c r="C7" s="59">
        <v>230</v>
      </c>
      <c r="D7" s="59">
        <v>1057</v>
      </c>
      <c r="E7" s="59">
        <v>1737</v>
      </c>
      <c r="F7" s="59">
        <v>1067</v>
      </c>
      <c r="G7" s="59">
        <v>1603</v>
      </c>
      <c r="H7" s="59">
        <v>1163</v>
      </c>
      <c r="I7" s="59">
        <v>2945</v>
      </c>
      <c r="J7" s="59">
        <v>1406</v>
      </c>
    </row>
    <row r="8" spans="1:10" x14ac:dyDescent="0.25">
      <c r="A8" s="3" t="s">
        <v>128</v>
      </c>
      <c r="B8" s="57" t="s">
        <v>343</v>
      </c>
      <c r="C8" s="59">
        <v>119</v>
      </c>
      <c r="D8" s="59">
        <v>2504</v>
      </c>
      <c r="E8" s="59">
        <v>7549</v>
      </c>
      <c r="F8" s="60">
        <v>647</v>
      </c>
      <c r="G8" s="59">
        <v>4555</v>
      </c>
      <c r="H8" s="59">
        <v>4811</v>
      </c>
      <c r="I8" s="59">
        <v>4615</v>
      </c>
      <c r="J8" s="59">
        <v>4681</v>
      </c>
    </row>
    <row r="9" spans="1:10" x14ac:dyDescent="0.25">
      <c r="A9" s="3" t="s">
        <v>129</v>
      </c>
      <c r="B9" s="57" t="s">
        <v>336</v>
      </c>
      <c r="C9" s="59">
        <v>0</v>
      </c>
      <c r="D9" s="59">
        <v>2173</v>
      </c>
      <c r="E9" s="59">
        <v>871</v>
      </c>
      <c r="F9" s="59">
        <v>759</v>
      </c>
      <c r="G9" s="59">
        <v>299</v>
      </c>
      <c r="H9" s="59">
        <v>986</v>
      </c>
      <c r="I9" s="59">
        <v>2226</v>
      </c>
      <c r="J9" s="59">
        <v>516</v>
      </c>
    </row>
    <row r="10" spans="1:10" x14ac:dyDescent="0.25">
      <c r="A10" s="3" t="s">
        <v>129</v>
      </c>
      <c r="B10" s="57" t="s">
        <v>343</v>
      </c>
      <c r="C10" s="59">
        <v>0</v>
      </c>
      <c r="D10" s="59">
        <v>-127</v>
      </c>
      <c r="E10" s="59">
        <v>-114</v>
      </c>
      <c r="F10" s="60">
        <v>-13</v>
      </c>
      <c r="G10" s="59">
        <v>-88</v>
      </c>
      <c r="H10" s="59">
        <v>-102</v>
      </c>
      <c r="I10" s="59">
        <v>-97</v>
      </c>
      <c r="J10" s="59">
        <v>-97</v>
      </c>
    </row>
    <row r="11" spans="1:10" x14ac:dyDescent="0.25">
      <c r="A11" s="3" t="s">
        <v>130</v>
      </c>
      <c r="B11" s="57" t="s">
        <v>336</v>
      </c>
      <c r="C11" s="59">
        <f>SUM(C13,C15,C17,C19,C21,C23,C25,C27,C29)</f>
        <v>2289.8999999999996</v>
      </c>
      <c r="D11" s="59">
        <f t="shared" ref="D11:J11" si="0">SUM(D13,D15,D17,D19,D21,D23,D25,D27,D29)</f>
        <v>1028</v>
      </c>
      <c r="E11" s="59">
        <f t="shared" si="0"/>
        <v>1478</v>
      </c>
      <c r="F11" s="59">
        <f t="shared" si="0"/>
        <v>1028</v>
      </c>
      <c r="G11" s="59">
        <f t="shared" si="0"/>
        <v>2028</v>
      </c>
      <c r="H11" s="59">
        <f t="shared" si="0"/>
        <v>734</v>
      </c>
      <c r="I11" s="59">
        <f t="shared" si="0"/>
        <v>874</v>
      </c>
      <c r="J11" s="59">
        <f t="shared" si="0"/>
        <v>1435</v>
      </c>
    </row>
    <row r="12" spans="1:10" x14ac:dyDescent="0.25">
      <c r="A12" s="3" t="s">
        <v>130</v>
      </c>
      <c r="B12" s="57" t="s">
        <v>343</v>
      </c>
      <c r="C12" s="59">
        <f>SUM(C14,C16,C18,C20,C22,C24,C26,C28,C30)</f>
        <v>3866</v>
      </c>
      <c r="D12" s="59">
        <v>3842</v>
      </c>
      <c r="E12" s="59">
        <v>6656</v>
      </c>
      <c r="F12" s="60">
        <v>989</v>
      </c>
      <c r="G12" s="59">
        <v>3316</v>
      </c>
      <c r="H12" s="59">
        <v>3676</v>
      </c>
      <c r="I12" s="59">
        <v>3648</v>
      </c>
      <c r="J12" s="59">
        <v>3636</v>
      </c>
    </row>
    <row r="13" spans="1:10" x14ac:dyDescent="0.25">
      <c r="A13" s="51" t="s">
        <v>131</v>
      </c>
      <c r="B13" s="57" t="s">
        <v>336</v>
      </c>
      <c r="C13" s="61">
        <v>101</v>
      </c>
      <c r="D13" s="61">
        <v>101</v>
      </c>
      <c r="E13" s="61">
        <v>101</v>
      </c>
      <c r="F13" s="62">
        <v>101</v>
      </c>
      <c r="G13" s="61">
        <v>101</v>
      </c>
      <c r="H13" s="61">
        <v>101</v>
      </c>
      <c r="I13" s="61">
        <v>101</v>
      </c>
      <c r="J13" s="61">
        <v>101</v>
      </c>
    </row>
    <row r="14" spans="1:10" x14ac:dyDescent="0.25">
      <c r="A14" s="51"/>
      <c r="B14" s="57" t="s">
        <v>343</v>
      </c>
      <c r="C14" s="61">
        <v>1200</v>
      </c>
      <c r="D14" s="61">
        <v>36</v>
      </c>
      <c r="E14" s="61">
        <v>300</v>
      </c>
      <c r="F14" s="62">
        <v>365</v>
      </c>
      <c r="G14" s="61">
        <v>300</v>
      </c>
      <c r="H14" s="61">
        <v>300</v>
      </c>
      <c r="I14" s="61">
        <v>300</v>
      </c>
      <c r="J14" s="61">
        <v>300</v>
      </c>
    </row>
    <row r="15" spans="1:10" x14ac:dyDescent="0.25">
      <c r="A15" s="51" t="s">
        <v>132</v>
      </c>
      <c r="B15" s="57" t="s">
        <v>336</v>
      </c>
      <c r="C15" s="61">
        <v>169.8</v>
      </c>
      <c r="D15" s="61">
        <v>43</v>
      </c>
      <c r="E15" s="61">
        <v>43</v>
      </c>
      <c r="F15" s="62">
        <v>43</v>
      </c>
      <c r="G15" s="61">
        <v>43</v>
      </c>
      <c r="H15" s="61">
        <v>43</v>
      </c>
      <c r="I15" s="61">
        <v>43</v>
      </c>
      <c r="J15" s="61">
        <v>418</v>
      </c>
    </row>
    <row r="16" spans="1:10" x14ac:dyDescent="0.25">
      <c r="A16" s="51"/>
      <c r="B16" s="57" t="s">
        <v>343</v>
      </c>
      <c r="C16" s="61">
        <v>448</v>
      </c>
      <c r="D16" s="61">
        <v>9</v>
      </c>
      <c r="E16" s="61">
        <v>6</v>
      </c>
      <c r="F16" s="62">
        <v>0</v>
      </c>
      <c r="G16" s="61">
        <v>8</v>
      </c>
      <c r="H16" s="61">
        <v>299</v>
      </c>
      <c r="I16" s="61">
        <v>890</v>
      </c>
      <c r="J16" s="61">
        <v>395</v>
      </c>
    </row>
    <row r="17" spans="1:10" x14ac:dyDescent="0.25">
      <c r="A17" s="51" t="s">
        <v>133</v>
      </c>
      <c r="B17" s="57" t="s">
        <v>336</v>
      </c>
      <c r="C17" s="61">
        <v>8.4</v>
      </c>
      <c r="D17" s="61">
        <v>8</v>
      </c>
      <c r="E17" s="61">
        <v>8</v>
      </c>
      <c r="F17" s="62">
        <v>8</v>
      </c>
      <c r="G17" s="61">
        <v>8</v>
      </c>
      <c r="H17" s="61">
        <v>8</v>
      </c>
      <c r="I17" s="61">
        <v>8</v>
      </c>
      <c r="J17" s="61">
        <v>8</v>
      </c>
    </row>
    <row r="18" spans="1:10" x14ac:dyDescent="0.25">
      <c r="A18" s="51"/>
      <c r="B18" s="57" t="s">
        <v>343</v>
      </c>
      <c r="C18" s="61">
        <v>27</v>
      </c>
      <c r="D18" s="61">
        <v>29</v>
      </c>
      <c r="E18" s="61">
        <v>29</v>
      </c>
      <c r="F18" s="62">
        <v>29</v>
      </c>
      <c r="G18" s="61">
        <v>29</v>
      </c>
      <c r="H18" s="61">
        <v>29</v>
      </c>
      <c r="I18" s="61">
        <v>29</v>
      </c>
      <c r="J18" s="61">
        <v>28</v>
      </c>
    </row>
    <row r="19" spans="1:10" x14ac:dyDescent="0.25">
      <c r="A19" s="51" t="s">
        <v>134</v>
      </c>
      <c r="B19" s="57" t="s">
        <v>336</v>
      </c>
      <c r="C19" s="61">
        <v>1972</v>
      </c>
      <c r="D19" s="61">
        <v>576</v>
      </c>
      <c r="E19" s="61">
        <v>576</v>
      </c>
      <c r="F19" s="62">
        <v>576</v>
      </c>
      <c r="G19" s="61">
        <v>576</v>
      </c>
      <c r="H19" s="61">
        <v>282</v>
      </c>
      <c r="I19" s="61">
        <v>422</v>
      </c>
      <c r="J19" s="61">
        <v>434</v>
      </c>
    </row>
    <row r="20" spans="1:10" x14ac:dyDescent="0.25">
      <c r="A20" s="51"/>
      <c r="B20" s="57" t="s">
        <v>343</v>
      </c>
      <c r="C20" s="61">
        <v>2106</v>
      </c>
      <c r="D20" s="61">
        <v>3422</v>
      </c>
      <c r="E20" s="61">
        <v>368</v>
      </c>
      <c r="F20" s="62">
        <v>397</v>
      </c>
      <c r="G20" s="61">
        <v>2288</v>
      </c>
      <c r="H20" s="61">
        <v>1616</v>
      </c>
      <c r="I20" s="61">
        <v>2057</v>
      </c>
      <c r="J20" s="61">
        <v>1857</v>
      </c>
    </row>
    <row r="21" spans="1:10" x14ac:dyDescent="0.25">
      <c r="A21" s="51" t="s">
        <v>135</v>
      </c>
      <c r="B21" s="57" t="s">
        <v>336</v>
      </c>
      <c r="C21" s="61">
        <v>20.2</v>
      </c>
      <c r="D21" s="61">
        <v>20</v>
      </c>
      <c r="E21" s="61">
        <v>20</v>
      </c>
      <c r="F21" s="62">
        <v>20</v>
      </c>
      <c r="G21" s="61">
        <v>1020</v>
      </c>
      <c r="H21" s="61">
        <v>20</v>
      </c>
      <c r="I21" s="61">
        <v>20</v>
      </c>
      <c r="J21" s="61">
        <v>20</v>
      </c>
    </row>
    <row r="22" spans="1:10" x14ac:dyDescent="0.25">
      <c r="A22" s="51"/>
      <c r="B22" s="57" t="s">
        <v>343</v>
      </c>
      <c r="C22" s="61">
        <v>27</v>
      </c>
      <c r="D22" s="61">
        <v>248</v>
      </c>
      <c r="E22" s="61">
        <v>60</v>
      </c>
      <c r="F22" s="62">
        <v>60</v>
      </c>
      <c r="G22" s="61">
        <v>62</v>
      </c>
      <c r="H22" s="61">
        <v>60</v>
      </c>
      <c r="I22" s="61">
        <v>60</v>
      </c>
      <c r="J22" s="61">
        <v>60</v>
      </c>
    </row>
    <row r="23" spans="1:10" x14ac:dyDescent="0.25">
      <c r="A23" s="51" t="s">
        <v>136</v>
      </c>
      <c r="B23" s="57" t="s">
        <v>336</v>
      </c>
      <c r="C23" s="61">
        <v>18.5</v>
      </c>
      <c r="D23" s="61">
        <v>19</v>
      </c>
      <c r="E23" s="61">
        <v>19</v>
      </c>
      <c r="F23" s="62">
        <v>19</v>
      </c>
      <c r="G23" s="61">
        <v>19</v>
      </c>
      <c r="H23" s="61">
        <v>19</v>
      </c>
      <c r="I23" s="61">
        <v>19</v>
      </c>
      <c r="J23" s="61">
        <v>19</v>
      </c>
    </row>
    <row r="24" spans="1:10" x14ac:dyDescent="0.25">
      <c r="A24" s="51"/>
      <c r="B24" s="57" t="s">
        <v>343</v>
      </c>
      <c r="C24" s="61">
        <v>58</v>
      </c>
      <c r="D24" s="61">
        <v>63</v>
      </c>
      <c r="E24" s="61">
        <v>63</v>
      </c>
      <c r="F24" s="62">
        <v>63</v>
      </c>
      <c r="G24" s="61">
        <v>63</v>
      </c>
      <c r="H24" s="61">
        <v>63</v>
      </c>
      <c r="I24" s="61">
        <v>63</v>
      </c>
      <c r="J24" s="61">
        <v>63</v>
      </c>
    </row>
    <row r="25" spans="1:10" x14ac:dyDescent="0.25">
      <c r="A25" s="51" t="s">
        <v>333</v>
      </c>
      <c r="B25" s="57" t="s">
        <v>336</v>
      </c>
      <c r="C25" s="61">
        <v>0</v>
      </c>
      <c r="D25" s="61">
        <v>261</v>
      </c>
      <c r="E25" s="61">
        <v>261</v>
      </c>
      <c r="F25" s="62">
        <v>261</v>
      </c>
      <c r="G25" s="61">
        <v>261</v>
      </c>
      <c r="H25" s="61">
        <v>261</v>
      </c>
      <c r="I25" s="61">
        <v>261</v>
      </c>
      <c r="J25" s="61">
        <v>261</v>
      </c>
    </row>
    <row r="26" spans="1:10" x14ac:dyDescent="0.25">
      <c r="A26" s="51"/>
      <c r="B26" s="57" t="s">
        <v>343</v>
      </c>
      <c r="C26" s="61">
        <v>0</v>
      </c>
      <c r="D26" s="61">
        <v>-22</v>
      </c>
      <c r="E26" s="61">
        <v>-25</v>
      </c>
      <c r="F26" s="62">
        <v>-9</v>
      </c>
      <c r="G26" s="61">
        <v>-27</v>
      </c>
      <c r="H26" s="61">
        <v>-26</v>
      </c>
      <c r="I26" s="61">
        <v>-27</v>
      </c>
      <c r="J26" s="61">
        <v>-26</v>
      </c>
    </row>
    <row r="27" spans="1:10" x14ac:dyDescent="0.25">
      <c r="A27" s="51" t="s">
        <v>137</v>
      </c>
      <c r="B27" s="57" t="s">
        <v>336</v>
      </c>
      <c r="C27" s="61">
        <v>0</v>
      </c>
      <c r="D27" s="61">
        <v>0</v>
      </c>
      <c r="E27" s="61">
        <v>450</v>
      </c>
      <c r="F27" s="62">
        <v>0</v>
      </c>
      <c r="G27" s="61">
        <v>0</v>
      </c>
      <c r="H27" s="61">
        <v>0</v>
      </c>
      <c r="I27" s="61">
        <v>0</v>
      </c>
      <c r="J27" s="61">
        <v>0</v>
      </c>
    </row>
    <row r="28" spans="1:10" x14ac:dyDescent="0.25">
      <c r="A28" s="51"/>
      <c r="B28" s="57" t="s">
        <v>343</v>
      </c>
      <c r="C28" s="61">
        <v>0</v>
      </c>
      <c r="D28" s="61">
        <v>0</v>
      </c>
      <c r="E28" s="61">
        <v>5230</v>
      </c>
      <c r="F28" s="62">
        <v>0</v>
      </c>
      <c r="G28" s="61">
        <v>0</v>
      </c>
      <c r="H28" s="61">
        <v>0</v>
      </c>
      <c r="I28" s="61">
        <v>2285</v>
      </c>
      <c r="J28" s="61">
        <v>0</v>
      </c>
    </row>
    <row r="29" spans="1:10" x14ac:dyDescent="0.25">
      <c r="A29" s="51" t="s">
        <v>138</v>
      </c>
      <c r="B29" s="57" t="s">
        <v>336</v>
      </c>
      <c r="C29" s="61">
        <v>0</v>
      </c>
      <c r="D29" s="61">
        <v>0</v>
      </c>
      <c r="E29" s="61">
        <v>0</v>
      </c>
      <c r="F29" s="62">
        <v>0</v>
      </c>
      <c r="G29" s="61">
        <v>0</v>
      </c>
      <c r="H29" s="61">
        <v>0</v>
      </c>
      <c r="I29" s="61">
        <v>0</v>
      </c>
      <c r="J29" s="61">
        <v>174</v>
      </c>
    </row>
    <row r="30" spans="1:10" x14ac:dyDescent="0.25">
      <c r="A30" s="51"/>
      <c r="B30" s="57" t="s">
        <v>343</v>
      </c>
      <c r="C30" s="61">
        <v>0</v>
      </c>
      <c r="D30" s="61">
        <v>-67</v>
      </c>
      <c r="E30" s="61">
        <v>-111</v>
      </c>
      <c r="F30" s="62">
        <v>0</v>
      </c>
      <c r="G30" s="61">
        <v>0</v>
      </c>
      <c r="H30" s="61">
        <v>0</v>
      </c>
      <c r="I30" s="61">
        <v>0</v>
      </c>
      <c r="J30" s="61">
        <v>-165</v>
      </c>
    </row>
    <row r="31" spans="1:10" x14ac:dyDescent="0.25">
      <c r="A31" s="45" t="s">
        <v>334</v>
      </c>
      <c r="B31" s="58"/>
      <c r="C31" s="63">
        <f>SUM(C3:C11)</f>
        <v>3791.8999999999996</v>
      </c>
      <c r="D31" s="63">
        <f>SUM(D3:D11)</f>
        <v>25708</v>
      </c>
      <c r="E31" s="63">
        <f t="shared" ref="E31:J31" si="1">SUM(E3:E11)</f>
        <v>22389</v>
      </c>
      <c r="F31" s="63">
        <f t="shared" si="1"/>
        <v>7928</v>
      </c>
      <c r="G31" s="63">
        <f t="shared" si="1"/>
        <v>19705</v>
      </c>
      <c r="H31" s="63">
        <f t="shared" si="1"/>
        <v>19664</v>
      </c>
      <c r="I31" s="63">
        <f t="shared" si="1"/>
        <v>23056</v>
      </c>
      <c r="J31" s="63">
        <f t="shared" si="1"/>
        <v>20722</v>
      </c>
    </row>
    <row r="32" spans="1:10" x14ac:dyDescent="0.25">
      <c r="A32" s="3" t="s">
        <v>335</v>
      </c>
      <c r="B32" s="57"/>
      <c r="C32" s="52">
        <v>0.8</v>
      </c>
      <c r="D32" s="52">
        <v>0.47</v>
      </c>
      <c r="E32" s="52">
        <v>0.42</v>
      </c>
      <c r="F32" s="52">
        <v>0.41</v>
      </c>
      <c r="G32" s="52">
        <v>0.43</v>
      </c>
      <c r="H32" s="52">
        <v>0.39</v>
      </c>
      <c r="I32" s="52">
        <v>0.4</v>
      </c>
      <c r="J32" s="52">
        <v>0.4</v>
      </c>
    </row>
    <row r="39" spans="1:10" ht="18" x14ac:dyDescent="0.35">
      <c r="A39" t="s">
        <v>348</v>
      </c>
      <c r="B39" t="s">
        <v>349</v>
      </c>
      <c r="C39" s="36">
        <v>11.143000000000001</v>
      </c>
      <c r="D39" s="66">
        <f>ROUND($C$39/$C$20*D20,2)</f>
        <v>18.11</v>
      </c>
      <c r="E39" s="66">
        <f t="shared" ref="E39:J39" si="2">ROUND($C$39/$C$20*E20,2)</f>
        <v>1.95</v>
      </c>
      <c r="F39" s="66">
        <f t="shared" si="2"/>
        <v>2.1</v>
      </c>
      <c r="G39" s="66">
        <f t="shared" si="2"/>
        <v>12.11</v>
      </c>
      <c r="H39" s="66">
        <f t="shared" si="2"/>
        <v>8.5500000000000007</v>
      </c>
      <c r="I39" s="66">
        <f t="shared" si="2"/>
        <v>10.88</v>
      </c>
      <c r="J39" s="66">
        <f t="shared" si="2"/>
        <v>9.83</v>
      </c>
    </row>
    <row r="40" spans="1:10" ht="18" x14ac:dyDescent="0.35">
      <c r="A40" t="s">
        <v>347</v>
      </c>
      <c r="B40" t="s">
        <v>349</v>
      </c>
      <c r="C40" s="36">
        <v>13.622</v>
      </c>
      <c r="D40" s="66">
        <f>ROUND($C$40/$C$20*D20,2)</f>
        <v>22.13</v>
      </c>
      <c r="E40" s="66">
        <f t="shared" ref="E40:J40" si="3">ROUND($C$40/$C$20*E20,2)</f>
        <v>2.38</v>
      </c>
      <c r="F40" s="66">
        <f t="shared" si="3"/>
        <v>2.57</v>
      </c>
      <c r="G40" s="66">
        <f t="shared" si="3"/>
        <v>14.8</v>
      </c>
      <c r="H40" s="66">
        <f t="shared" si="3"/>
        <v>10.45</v>
      </c>
      <c r="I40" s="66">
        <f t="shared" si="3"/>
        <v>13.31</v>
      </c>
      <c r="J40" s="66">
        <f t="shared" si="3"/>
        <v>12.01</v>
      </c>
    </row>
    <row r="41" spans="1:10" x14ac:dyDescent="0.25">
      <c r="A41" t="s">
        <v>350</v>
      </c>
    </row>
  </sheetData>
  <mergeCells count="1">
    <mergeCell ref="D1:J1"/>
  </mergeCells>
  <pageMargins left="0.7" right="0.7" top="0.75" bottom="0.75" header="0.3" footer="0.3"/>
  <pageSetup paperSize="9"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5A163-42DF-4E10-9649-593E2AF98F18}">
  <dimension ref="A1:S140"/>
  <sheetViews>
    <sheetView workbookViewId="0">
      <selection activeCell="B6" sqref="B6"/>
    </sheetView>
  </sheetViews>
  <sheetFormatPr defaultRowHeight="15" x14ac:dyDescent="0.25"/>
  <cols>
    <col min="1" max="1" width="15.28515625" customWidth="1"/>
    <col min="2" max="2" width="24.28515625" customWidth="1"/>
    <col min="3" max="3" width="9.42578125" customWidth="1"/>
    <col min="4" max="4" width="11.42578125" customWidth="1"/>
    <col min="5" max="5" width="12.7109375" customWidth="1"/>
    <col min="6" max="6" width="24.5703125" customWidth="1"/>
    <col min="19" max="19" width="14.140625" bestFit="1" customWidth="1"/>
  </cols>
  <sheetData>
    <row r="1" spans="1:19" x14ac:dyDescent="0.25">
      <c r="B1" s="149" t="s">
        <v>360</v>
      </c>
      <c r="C1" s="149"/>
      <c r="D1" s="149"/>
      <c r="E1" s="149"/>
      <c r="F1" s="149"/>
    </row>
    <row r="2" spans="1:19" x14ac:dyDescent="0.25">
      <c r="A2" s="45" t="s">
        <v>331</v>
      </c>
      <c r="B2" s="86" t="s">
        <v>323</v>
      </c>
      <c r="C2" s="86" t="s">
        <v>337</v>
      </c>
      <c r="D2" s="86" t="s">
        <v>338</v>
      </c>
      <c r="E2" s="86" t="s">
        <v>339</v>
      </c>
      <c r="F2" s="50" t="s">
        <v>340</v>
      </c>
    </row>
    <row r="3" spans="1:19" x14ac:dyDescent="0.25">
      <c r="A3" t="s">
        <v>131</v>
      </c>
      <c r="B3" s="96">
        <v>12878</v>
      </c>
      <c r="C3" s="96">
        <v>8456</v>
      </c>
      <c r="D3" s="96">
        <v>12509</v>
      </c>
      <c r="E3" s="96">
        <v>10296</v>
      </c>
      <c r="F3" s="96">
        <v>11890</v>
      </c>
    </row>
    <row r="4" spans="1:19" x14ac:dyDescent="0.25">
      <c r="A4" t="s">
        <v>361</v>
      </c>
      <c r="B4" s="96">
        <v>2177</v>
      </c>
      <c r="C4" s="96">
        <v>2177</v>
      </c>
      <c r="D4" s="96">
        <v>2322</v>
      </c>
      <c r="E4" s="96">
        <v>2087</v>
      </c>
      <c r="F4" s="96">
        <v>2177</v>
      </c>
    </row>
    <row r="5" spans="1:19" x14ac:dyDescent="0.25">
      <c r="A5" t="s">
        <v>362</v>
      </c>
      <c r="B5" s="96">
        <v>930</v>
      </c>
      <c r="C5" s="96">
        <v>2546</v>
      </c>
      <c r="D5" s="96">
        <v>1092</v>
      </c>
      <c r="E5" s="96">
        <v>1296</v>
      </c>
      <c r="F5" s="96">
        <v>1226</v>
      </c>
    </row>
    <row r="6" spans="1:19" x14ac:dyDescent="0.25">
      <c r="A6" t="s">
        <v>444</v>
      </c>
      <c r="B6" s="96">
        <v>12383</v>
      </c>
      <c r="C6" s="96">
        <v>6897</v>
      </c>
      <c r="D6" s="96">
        <v>11785</v>
      </c>
      <c r="E6" s="96">
        <v>9608</v>
      </c>
      <c r="F6" s="96">
        <v>11089</v>
      </c>
    </row>
    <row r="7" spans="1:19" x14ac:dyDescent="0.25">
      <c r="A7" t="s">
        <v>447</v>
      </c>
      <c r="B7" s="96">
        <v>1176</v>
      </c>
      <c r="C7" s="96">
        <v>4154</v>
      </c>
      <c r="D7" s="96">
        <v>1520</v>
      </c>
      <c r="E7" s="96">
        <v>1961</v>
      </c>
      <c r="F7" s="96">
        <v>1806</v>
      </c>
    </row>
    <row r="8" spans="1:19" x14ac:dyDescent="0.25">
      <c r="A8" t="s">
        <v>363</v>
      </c>
      <c r="B8" s="96">
        <v>695</v>
      </c>
      <c r="C8" s="96">
        <v>695</v>
      </c>
      <c r="D8" s="96">
        <v>695</v>
      </c>
      <c r="E8" s="96">
        <v>695</v>
      </c>
      <c r="F8" s="96">
        <v>695</v>
      </c>
    </row>
    <row r="14" spans="1:19" x14ac:dyDescent="0.25">
      <c r="A14" s="45">
        <v>2035</v>
      </c>
      <c r="C14" s="146" t="str">
        <f>Table2[[#Headers],[Elekter]]</f>
        <v>Elekter</v>
      </c>
      <c r="D14" s="147"/>
      <c r="E14" s="148"/>
      <c r="F14" s="146" t="str">
        <f>Table2[[#Headers],[Lokaalküte]]</f>
        <v>Lokaalküte</v>
      </c>
      <c r="G14" s="147"/>
      <c r="H14" s="148"/>
      <c r="I14" s="146" t="str">
        <f>Table2[[#Headers],[Kaugküte]]</f>
        <v>Kaugküte</v>
      </c>
      <c r="J14" s="147"/>
      <c r="K14" s="148"/>
      <c r="L14" s="146" t="str">
        <f>Table2[[#Headers],[BAU]]</f>
        <v>BAU</v>
      </c>
      <c r="M14" s="147"/>
      <c r="N14" s="148"/>
      <c r="O14" s="146" t="str">
        <f>Table2[[#Headers],[Tehnoloogia-neutraalne]]</f>
        <v>Tehnoloogia-neutraalne</v>
      </c>
      <c r="P14" s="147"/>
      <c r="Q14" s="148"/>
    </row>
    <row r="15" spans="1:19" ht="60" x14ac:dyDescent="0.25">
      <c r="A15" s="91" t="s">
        <v>364</v>
      </c>
      <c r="B15" s="88" t="s">
        <v>365</v>
      </c>
      <c r="C15" s="88" t="s">
        <v>366</v>
      </c>
      <c r="D15" s="88" t="s">
        <v>367</v>
      </c>
      <c r="E15" s="88" t="s">
        <v>368</v>
      </c>
      <c r="F15" s="88" t="s">
        <v>369</v>
      </c>
      <c r="G15" s="88" t="s">
        <v>370</v>
      </c>
      <c r="H15" s="88" t="s">
        <v>371</v>
      </c>
      <c r="I15" s="88" t="s">
        <v>372</v>
      </c>
      <c r="J15" s="88" t="s">
        <v>373</v>
      </c>
      <c r="K15" s="88" t="s">
        <v>374</v>
      </c>
      <c r="L15" s="88" t="s">
        <v>375</v>
      </c>
      <c r="M15" s="88" t="s">
        <v>376</v>
      </c>
      <c r="N15" s="88" t="s">
        <v>377</v>
      </c>
      <c r="O15" s="88" t="s">
        <v>378</v>
      </c>
      <c r="P15" s="88" t="s">
        <v>379</v>
      </c>
      <c r="Q15" s="88" t="s">
        <v>380</v>
      </c>
      <c r="R15" s="92" t="s">
        <v>441</v>
      </c>
      <c r="S15" s="89" t="s">
        <v>445</v>
      </c>
    </row>
    <row r="16" spans="1:19" x14ac:dyDescent="0.25">
      <c r="A16" s="45" t="s">
        <v>383</v>
      </c>
      <c r="B16" t="s">
        <v>440</v>
      </c>
      <c r="C16" s="90">
        <v>180.27959387487419</v>
      </c>
      <c r="D16" s="90"/>
      <c r="E16" s="90"/>
      <c r="F16" s="90">
        <v>0</v>
      </c>
      <c r="G16" s="90"/>
      <c r="H16" s="90"/>
      <c r="I16" s="90">
        <v>116.74423325190295</v>
      </c>
      <c r="J16" s="90"/>
      <c r="K16" s="90"/>
      <c r="L16" s="90">
        <v>0</v>
      </c>
      <c r="M16" s="90"/>
      <c r="N16" s="90"/>
      <c r="O16" s="90">
        <v>88.609033234688212</v>
      </c>
      <c r="P16" s="90"/>
      <c r="Q16" s="90"/>
      <c r="R16" s="90"/>
      <c r="S16" s="90"/>
    </row>
    <row r="17" spans="1:19" x14ac:dyDescent="0.25">
      <c r="A17" s="45" t="s">
        <v>381</v>
      </c>
      <c r="B17" t="s">
        <v>439</v>
      </c>
      <c r="C17" s="90">
        <v>84.557747744140343</v>
      </c>
      <c r="D17" s="90"/>
      <c r="E17" s="90"/>
      <c r="F17" s="90">
        <v>0</v>
      </c>
      <c r="G17" s="90"/>
      <c r="H17" s="90"/>
      <c r="I17" s="90">
        <v>79.563917205819536</v>
      </c>
      <c r="J17" s="90"/>
      <c r="K17" s="90"/>
      <c r="L17" s="90">
        <v>0</v>
      </c>
      <c r="M17" s="90"/>
      <c r="N17" s="90"/>
      <c r="O17" s="90">
        <v>41.560889499846851</v>
      </c>
      <c r="P17" s="90"/>
      <c r="Q17" s="90"/>
      <c r="R17" s="90"/>
      <c r="S17" s="90"/>
    </row>
    <row r="18" spans="1:19" x14ac:dyDescent="0.25">
      <c r="A18" s="45" t="s">
        <v>381</v>
      </c>
      <c r="B18" t="s">
        <v>438</v>
      </c>
      <c r="C18" s="90">
        <v>140.99504296058575</v>
      </c>
      <c r="D18" s="90">
        <v>46.998347653528583</v>
      </c>
      <c r="E18" s="90"/>
      <c r="F18" s="90">
        <v>4.6034847515693963E-2</v>
      </c>
      <c r="G18" s="90">
        <v>0</v>
      </c>
      <c r="H18" s="90"/>
      <c r="I18" s="90">
        <v>54.084270831631066</v>
      </c>
      <c r="J18" s="90">
        <v>18.028090277210357</v>
      </c>
      <c r="K18" s="90"/>
      <c r="L18" s="90">
        <v>11.33982975290394</v>
      </c>
      <c r="M18" s="90">
        <v>3.77994325096798</v>
      </c>
      <c r="N18" s="90"/>
      <c r="O18" s="90">
        <v>28.251379301732001</v>
      </c>
      <c r="P18" s="90">
        <v>9.4171264339106671</v>
      </c>
      <c r="Q18" s="90"/>
      <c r="R18" s="90"/>
      <c r="S18" s="90" t="s">
        <v>442</v>
      </c>
    </row>
    <row r="19" spans="1:19" x14ac:dyDescent="0.25">
      <c r="A19" s="45" t="s">
        <v>383</v>
      </c>
      <c r="B19" t="s">
        <v>438</v>
      </c>
      <c r="C19" s="90">
        <v>300.60555964921951</v>
      </c>
      <c r="D19" s="90">
        <v>100.2018532164065</v>
      </c>
      <c r="E19" s="90"/>
      <c r="F19" s="90">
        <v>7.2073119810618591E-2</v>
      </c>
      <c r="G19" s="90">
        <v>0</v>
      </c>
      <c r="H19" s="90"/>
      <c r="I19" s="90">
        <v>79.357916892070804</v>
      </c>
      <c r="J19" s="90">
        <v>26.452638964023603</v>
      </c>
      <c r="K19" s="90"/>
      <c r="L19" s="90">
        <v>24.176849041079212</v>
      </c>
      <c r="M19" s="90">
        <v>8.0589496803597367</v>
      </c>
      <c r="N19" s="90"/>
      <c r="O19" s="90">
        <v>60.232767816054036</v>
      </c>
      <c r="P19" s="90">
        <v>20.077589272018013</v>
      </c>
      <c r="Q19" s="90"/>
      <c r="R19" s="90"/>
      <c r="S19" s="90" t="s">
        <v>442</v>
      </c>
    </row>
    <row r="20" spans="1:19" x14ac:dyDescent="0.25">
      <c r="A20" s="45" t="s">
        <v>401</v>
      </c>
      <c r="B20" t="s">
        <v>437</v>
      </c>
      <c r="C20" s="90">
        <v>8.9501943936000057</v>
      </c>
      <c r="D20" s="90"/>
      <c r="E20" s="90">
        <v>1193.3592524800006</v>
      </c>
      <c r="F20" s="90">
        <v>8.9501943936000057</v>
      </c>
      <c r="G20" s="90"/>
      <c r="H20" s="90">
        <v>1193.3592524800006</v>
      </c>
      <c r="I20" s="90">
        <v>8.9501943936000057</v>
      </c>
      <c r="J20" s="90"/>
      <c r="K20" s="90">
        <v>1193.3592524800006</v>
      </c>
      <c r="L20" s="90">
        <v>8.9501943936000057</v>
      </c>
      <c r="M20" s="90"/>
      <c r="N20" s="90">
        <v>1193.3592524800006</v>
      </c>
      <c r="O20" s="90">
        <v>8.9501943936000057</v>
      </c>
      <c r="P20" s="90"/>
      <c r="Q20" s="90">
        <v>1193.3592524800006</v>
      </c>
      <c r="R20" s="90"/>
      <c r="S20" s="90"/>
    </row>
    <row r="21" spans="1:19" x14ac:dyDescent="0.25">
      <c r="A21" s="45" t="s">
        <v>403</v>
      </c>
      <c r="B21" t="s">
        <v>437</v>
      </c>
      <c r="C21" s="90">
        <v>21.466628028000006</v>
      </c>
      <c r="D21" s="90"/>
      <c r="E21" s="90">
        <v>2862.2170704000009</v>
      </c>
      <c r="F21" s="90">
        <v>21.466628028000006</v>
      </c>
      <c r="G21" s="90"/>
      <c r="H21" s="90">
        <v>2862.2170704000009</v>
      </c>
      <c r="I21" s="90">
        <v>11.103428290344832</v>
      </c>
      <c r="J21" s="90"/>
      <c r="K21" s="90">
        <v>1480.4571053793109</v>
      </c>
      <c r="L21" s="90">
        <v>21.466628028000006</v>
      </c>
      <c r="M21" s="90"/>
      <c r="N21" s="90">
        <v>2862.2170704000009</v>
      </c>
      <c r="O21" s="90">
        <v>21.466628028000006</v>
      </c>
      <c r="P21" s="90"/>
      <c r="Q21" s="90">
        <v>2862.2170704000009</v>
      </c>
      <c r="R21" s="90"/>
      <c r="S21" s="90"/>
    </row>
    <row r="22" spans="1:19" x14ac:dyDescent="0.25">
      <c r="A22" s="45" t="s">
        <v>404</v>
      </c>
      <c r="B22" s="93" t="s">
        <v>437</v>
      </c>
      <c r="C22" s="90">
        <v>152.00566734375002</v>
      </c>
      <c r="D22" s="90"/>
      <c r="E22" s="90">
        <v>20267.422312500003</v>
      </c>
      <c r="F22" s="90">
        <v>152.00566734375002</v>
      </c>
      <c r="G22" s="90"/>
      <c r="H22" s="90">
        <v>20267.422312500003</v>
      </c>
      <c r="I22" s="90">
        <v>152.00566734375002</v>
      </c>
      <c r="J22" s="90"/>
      <c r="K22" s="90">
        <v>20267.422312500003</v>
      </c>
      <c r="L22" s="90">
        <v>152.00566734375002</v>
      </c>
      <c r="M22" s="90"/>
      <c r="N22" s="90">
        <v>20267.422312500003</v>
      </c>
      <c r="O22" s="90">
        <v>152.00566734375002</v>
      </c>
      <c r="P22" s="90"/>
      <c r="Q22" s="90">
        <v>20267.422312500003</v>
      </c>
      <c r="R22" s="90"/>
      <c r="S22" s="90"/>
    </row>
    <row r="23" spans="1:19" x14ac:dyDescent="0.25">
      <c r="A23" s="45" t="s">
        <v>405</v>
      </c>
      <c r="B23" s="93" t="s">
        <v>437</v>
      </c>
      <c r="C23" s="90">
        <v>73.387416341020923</v>
      </c>
      <c r="D23" s="90"/>
      <c r="E23" s="90">
        <v>9784.9888454694556</v>
      </c>
      <c r="F23" s="90">
        <v>73.387416341020923</v>
      </c>
      <c r="G23" s="90"/>
      <c r="H23" s="90">
        <v>9784.9888454694556</v>
      </c>
      <c r="I23" s="90">
        <v>37.959008452252199</v>
      </c>
      <c r="J23" s="90"/>
      <c r="K23" s="90">
        <v>5061.2011269669592</v>
      </c>
      <c r="L23" s="90">
        <v>73.387416341020923</v>
      </c>
      <c r="M23" s="90"/>
      <c r="N23" s="90">
        <v>9784.9888454694556</v>
      </c>
      <c r="O23" s="90">
        <v>73.387416341020923</v>
      </c>
      <c r="P23" s="90"/>
      <c r="Q23" s="90">
        <v>9784.9888454694556</v>
      </c>
      <c r="R23" s="90"/>
      <c r="S23" s="90"/>
    </row>
    <row r="24" spans="1:19" x14ac:dyDescent="0.25">
      <c r="A24" s="45" t="s">
        <v>406</v>
      </c>
      <c r="B24" t="s">
        <v>437</v>
      </c>
      <c r="C24" s="90">
        <v>13.540051233933333</v>
      </c>
      <c r="D24" s="90"/>
      <c r="E24" s="90">
        <v>1805.3401645244444</v>
      </c>
      <c r="F24" s="90">
        <v>13.540051233933333</v>
      </c>
      <c r="G24" s="90"/>
      <c r="H24" s="90">
        <v>1805.3401645244444</v>
      </c>
      <c r="I24" s="90">
        <v>13.540051233933333</v>
      </c>
      <c r="J24" s="90"/>
      <c r="K24" s="90">
        <v>1805.3401645244444</v>
      </c>
      <c r="L24" s="90">
        <v>13.540051233933333</v>
      </c>
      <c r="M24" s="90"/>
      <c r="N24" s="90">
        <v>1805.3401645244444</v>
      </c>
      <c r="O24" s="90">
        <v>13.540051233933333</v>
      </c>
      <c r="P24" s="90"/>
      <c r="Q24" s="90">
        <v>1805.3401645244444</v>
      </c>
      <c r="R24" s="90"/>
      <c r="S24" s="90"/>
    </row>
    <row r="25" spans="1:19" x14ac:dyDescent="0.25">
      <c r="A25" s="45" t="s">
        <v>407</v>
      </c>
      <c r="B25" t="s">
        <v>437</v>
      </c>
      <c r="C25" s="90">
        <v>3.8326223759999993</v>
      </c>
      <c r="D25" s="90"/>
      <c r="E25" s="90">
        <v>511.01631679999991</v>
      </c>
      <c r="F25" s="90">
        <v>3.8326223759999993</v>
      </c>
      <c r="G25" s="90"/>
      <c r="H25" s="90">
        <v>511.01631679999991</v>
      </c>
      <c r="I25" s="90">
        <v>1.9823908841379314</v>
      </c>
      <c r="J25" s="90"/>
      <c r="K25" s="90">
        <v>264.31878455172415</v>
      </c>
      <c r="L25" s="90">
        <v>3.8326223759999993</v>
      </c>
      <c r="M25" s="90"/>
      <c r="N25" s="90">
        <v>511.01631679999991</v>
      </c>
      <c r="O25" s="90">
        <v>3.8326223759999993</v>
      </c>
      <c r="P25" s="90"/>
      <c r="Q25" s="90">
        <v>511.01631679999991</v>
      </c>
      <c r="R25" s="90"/>
      <c r="S25" s="90"/>
    </row>
    <row r="26" spans="1:19" x14ac:dyDescent="0.25">
      <c r="A26" s="45" t="s">
        <v>381</v>
      </c>
      <c r="B26" t="s">
        <v>435</v>
      </c>
      <c r="C26" s="90">
        <v>0.84557747744140332</v>
      </c>
      <c r="D26" s="90">
        <v>7.046478978678361</v>
      </c>
      <c r="E26" s="90"/>
      <c r="F26" s="90">
        <v>0</v>
      </c>
      <c r="G26" s="90">
        <v>0</v>
      </c>
      <c r="H26" s="90"/>
      <c r="I26" s="90">
        <v>1.6187684435026697</v>
      </c>
      <c r="J26" s="90">
        <v>13.489737029188914</v>
      </c>
      <c r="K26" s="90"/>
      <c r="L26" s="90">
        <v>0.84557747744140332</v>
      </c>
      <c r="M26" s="90">
        <v>7.046478978678361</v>
      </c>
      <c r="N26" s="90"/>
      <c r="O26" s="90">
        <v>0.84557747744140332</v>
      </c>
      <c r="P26" s="90">
        <v>7.046478978678361</v>
      </c>
      <c r="Q26" s="90"/>
      <c r="R26" s="90"/>
      <c r="S26" s="90"/>
    </row>
    <row r="27" spans="1:19" x14ac:dyDescent="0.25">
      <c r="A27" s="45" t="s">
        <v>383</v>
      </c>
      <c r="B27" t="s">
        <v>435</v>
      </c>
      <c r="C27" s="90">
        <v>1.8027959387487418</v>
      </c>
      <c r="D27" s="90">
        <v>15.023299489572848</v>
      </c>
      <c r="E27" s="90"/>
      <c r="F27" s="90">
        <v>0</v>
      </c>
      <c r="G27" s="90">
        <v>0</v>
      </c>
      <c r="H27" s="90"/>
      <c r="I27" s="90">
        <v>2.3752209215671063</v>
      </c>
      <c r="J27" s="90">
        <v>19.793507679725888</v>
      </c>
      <c r="K27" s="90"/>
      <c r="L27" s="90">
        <v>1.8027959387487418</v>
      </c>
      <c r="M27" s="90">
        <v>15.023299489572848</v>
      </c>
      <c r="N27" s="90"/>
      <c r="O27" s="90">
        <v>1.8027959387487418</v>
      </c>
      <c r="P27" s="90">
        <v>15.023299489572848</v>
      </c>
      <c r="Q27" s="90"/>
      <c r="R27" s="90"/>
      <c r="S27" s="90"/>
    </row>
    <row r="28" spans="1:19" x14ac:dyDescent="0.25">
      <c r="A28" s="45" t="s">
        <v>390</v>
      </c>
      <c r="B28" t="s">
        <v>435</v>
      </c>
      <c r="C28" s="90">
        <v>0</v>
      </c>
      <c r="D28" s="90"/>
      <c r="E28" s="90">
        <v>0</v>
      </c>
      <c r="F28" s="90">
        <v>0</v>
      </c>
      <c r="G28" s="90"/>
      <c r="H28" s="90">
        <v>0</v>
      </c>
      <c r="I28" s="90">
        <v>0</v>
      </c>
      <c r="J28" s="90"/>
      <c r="K28" s="90">
        <v>0</v>
      </c>
      <c r="L28" s="90">
        <v>0</v>
      </c>
      <c r="M28" s="90"/>
      <c r="N28" s="90">
        <v>0</v>
      </c>
      <c r="O28" s="90">
        <v>0</v>
      </c>
      <c r="P28" s="90"/>
      <c r="Q28" s="90">
        <v>0</v>
      </c>
      <c r="R28" s="90"/>
      <c r="S28" s="90"/>
    </row>
    <row r="29" spans="1:19" x14ac:dyDescent="0.25">
      <c r="A29" s="45" t="s">
        <v>392</v>
      </c>
      <c r="B29" t="s">
        <v>435</v>
      </c>
      <c r="C29" s="90">
        <v>0</v>
      </c>
      <c r="D29" s="90"/>
      <c r="E29" s="90">
        <v>0</v>
      </c>
      <c r="F29" s="90">
        <v>0</v>
      </c>
      <c r="G29" s="90"/>
      <c r="H29" s="90">
        <v>0</v>
      </c>
      <c r="I29" s="90">
        <v>0</v>
      </c>
      <c r="J29" s="90"/>
      <c r="K29" s="90">
        <v>0</v>
      </c>
      <c r="L29" s="90">
        <v>0</v>
      </c>
      <c r="M29" s="90"/>
      <c r="N29" s="90">
        <v>0</v>
      </c>
      <c r="O29" s="90">
        <v>0</v>
      </c>
      <c r="P29" s="90"/>
      <c r="Q29" s="90">
        <v>0</v>
      </c>
      <c r="R29" s="90"/>
      <c r="S29" s="90"/>
    </row>
    <row r="30" spans="1:19" x14ac:dyDescent="0.25">
      <c r="A30" s="45" t="s">
        <v>393</v>
      </c>
      <c r="B30" t="s">
        <v>435</v>
      </c>
      <c r="C30" s="90">
        <v>1.1656918911083851</v>
      </c>
      <c r="D30" s="90"/>
      <c r="E30" s="90">
        <v>32.380330308566258</v>
      </c>
      <c r="F30" s="90">
        <v>2.1082209520788329</v>
      </c>
      <c r="G30" s="90"/>
      <c r="H30" s="90">
        <v>58.561693113300926</v>
      </c>
      <c r="I30" s="90">
        <v>0.60294408160778545</v>
      </c>
      <c r="J30" s="90"/>
      <c r="K30" s="90">
        <v>16.748446711327375</v>
      </c>
      <c r="L30" s="90">
        <v>1.1656918911083851</v>
      </c>
      <c r="M30" s="90"/>
      <c r="N30" s="90">
        <v>32.380330308566258</v>
      </c>
      <c r="O30" s="90">
        <v>1.1656918911083851</v>
      </c>
      <c r="P30" s="90"/>
      <c r="Q30" s="90">
        <v>32.380330308566258</v>
      </c>
      <c r="R30" s="90"/>
      <c r="S30" s="90"/>
    </row>
    <row r="31" spans="1:19" x14ac:dyDescent="0.25">
      <c r="A31" s="45" t="s">
        <v>394</v>
      </c>
      <c r="B31" t="s">
        <v>435</v>
      </c>
      <c r="C31" s="90">
        <v>0</v>
      </c>
      <c r="D31" s="90"/>
      <c r="E31" s="90">
        <v>0</v>
      </c>
      <c r="F31" s="90">
        <v>0</v>
      </c>
      <c r="G31" s="90"/>
      <c r="H31" s="90">
        <v>0</v>
      </c>
      <c r="I31" s="90">
        <v>0</v>
      </c>
      <c r="J31" s="90"/>
      <c r="K31" s="90">
        <v>0</v>
      </c>
      <c r="L31" s="90">
        <v>0</v>
      </c>
      <c r="M31" s="90"/>
      <c r="N31" s="90">
        <v>0</v>
      </c>
      <c r="O31" s="90">
        <v>0</v>
      </c>
      <c r="P31" s="90"/>
      <c r="Q31" s="90">
        <v>0</v>
      </c>
      <c r="R31" s="90"/>
      <c r="S31" s="90"/>
    </row>
    <row r="32" spans="1:19" x14ac:dyDescent="0.25">
      <c r="A32" s="45" t="s">
        <v>387</v>
      </c>
      <c r="B32" t="s">
        <v>435</v>
      </c>
      <c r="C32" s="90">
        <v>0</v>
      </c>
      <c r="D32" s="90"/>
      <c r="E32" s="90">
        <v>0</v>
      </c>
      <c r="F32" s="90">
        <v>0</v>
      </c>
      <c r="G32" s="90"/>
      <c r="H32" s="90">
        <v>0</v>
      </c>
      <c r="I32" s="90">
        <v>0</v>
      </c>
      <c r="J32" s="90"/>
      <c r="K32" s="90">
        <v>0</v>
      </c>
      <c r="L32" s="90">
        <v>0</v>
      </c>
      <c r="M32" s="90"/>
      <c r="N32" s="90">
        <v>0</v>
      </c>
      <c r="O32" s="90">
        <v>0</v>
      </c>
      <c r="P32" s="90"/>
      <c r="Q32" s="90">
        <v>0</v>
      </c>
      <c r="R32" s="90"/>
      <c r="S32" s="90"/>
    </row>
    <row r="33" spans="1:19" x14ac:dyDescent="0.25">
      <c r="A33" s="45" t="s">
        <v>389</v>
      </c>
      <c r="B33" t="s">
        <v>435</v>
      </c>
      <c r="C33" s="90">
        <v>0.7573959826132306</v>
      </c>
      <c r="D33" s="90"/>
      <c r="E33" s="90">
        <v>1262.3266376887177</v>
      </c>
      <c r="F33" s="90">
        <v>0.76786787761917352</v>
      </c>
      <c r="G33" s="90"/>
      <c r="H33" s="90">
        <v>1279.7797960319558</v>
      </c>
      <c r="I33" s="90">
        <v>0.39175654273098121</v>
      </c>
      <c r="J33" s="90"/>
      <c r="K33" s="90">
        <v>652.92757121830198</v>
      </c>
      <c r="L33" s="90">
        <v>0.7573959826132306</v>
      </c>
      <c r="M33" s="90"/>
      <c r="N33" s="90">
        <v>1262.3266376887177</v>
      </c>
      <c r="O33" s="90">
        <v>0.7573959826132306</v>
      </c>
      <c r="P33" s="90"/>
      <c r="Q33" s="90">
        <v>1262.3266376887177</v>
      </c>
      <c r="R33" s="90"/>
      <c r="S33" s="90"/>
    </row>
    <row r="34" spans="1:19" x14ac:dyDescent="0.25">
      <c r="A34" t="s">
        <v>396</v>
      </c>
      <c r="B34" t="s">
        <v>436</v>
      </c>
      <c r="C34" s="36">
        <v>2.6660624287169377</v>
      </c>
      <c r="D34" s="36">
        <v>22.217186905974483</v>
      </c>
      <c r="E34" s="36"/>
      <c r="F34" s="36">
        <v>2.3100615723055253</v>
      </c>
      <c r="G34" s="36">
        <v>19.250513102546044</v>
      </c>
      <c r="H34" s="36"/>
      <c r="I34" s="36">
        <v>2.3100615723055253</v>
      </c>
      <c r="J34" s="36">
        <v>19.250513102546044</v>
      </c>
      <c r="K34" s="36"/>
      <c r="L34" s="36">
        <v>0</v>
      </c>
      <c r="M34" s="36">
        <v>0</v>
      </c>
      <c r="N34" s="36"/>
      <c r="O34" s="36">
        <v>2.3100615723055253</v>
      </c>
      <c r="P34" s="36">
        <v>19.250513102546044</v>
      </c>
      <c r="Q34" s="90"/>
      <c r="R34" s="90"/>
      <c r="S34" s="90"/>
    </row>
    <row r="35" spans="1:19" x14ac:dyDescent="0.25">
      <c r="A35" s="45" t="s">
        <v>381</v>
      </c>
      <c r="B35" t="s">
        <v>434</v>
      </c>
      <c r="C35" s="90">
        <v>0.63944636439734526</v>
      </c>
      <c r="D35" s="90">
        <v>0</v>
      </c>
      <c r="E35" s="90"/>
      <c r="F35" s="90">
        <v>0.44966839053329927</v>
      </c>
      <c r="G35" s="90">
        <v>0</v>
      </c>
      <c r="H35" s="90"/>
      <c r="I35" s="90">
        <v>1.2241522789029855</v>
      </c>
      <c r="J35" s="90">
        <v>0</v>
      </c>
      <c r="K35" s="90"/>
      <c r="L35" s="90">
        <v>0.63944636439734526</v>
      </c>
      <c r="M35" s="90">
        <v>0</v>
      </c>
      <c r="N35" s="90"/>
      <c r="O35" s="90">
        <v>0.63944636439734526</v>
      </c>
      <c r="P35" s="90">
        <v>0</v>
      </c>
      <c r="Q35" s="90"/>
      <c r="R35" s="90" t="s">
        <v>442</v>
      </c>
      <c r="S35" s="90"/>
    </row>
    <row r="36" spans="1:19" x14ac:dyDescent="0.25">
      <c r="A36" s="45" t="s">
        <v>383</v>
      </c>
      <c r="B36" t="s">
        <v>434</v>
      </c>
      <c r="C36" s="90">
        <v>1.3633183706256748</v>
      </c>
      <c r="D36" s="90">
        <v>0</v>
      </c>
      <c r="E36" s="90"/>
      <c r="F36" s="90">
        <v>0.70401023431012355</v>
      </c>
      <c r="G36" s="90">
        <v>0</v>
      </c>
      <c r="H36" s="90"/>
      <c r="I36" s="90">
        <v>1.7962001394979796</v>
      </c>
      <c r="J36" s="90">
        <v>1</v>
      </c>
      <c r="K36" s="90"/>
      <c r="L36" s="90">
        <v>1.3633183706256748</v>
      </c>
      <c r="M36" s="90">
        <v>0</v>
      </c>
      <c r="N36" s="90"/>
      <c r="O36" s="90">
        <v>1.3633183706256748</v>
      </c>
      <c r="P36" s="90">
        <v>0</v>
      </c>
      <c r="Q36" s="90"/>
      <c r="R36" s="90" t="s">
        <v>442</v>
      </c>
      <c r="S36" s="90"/>
    </row>
    <row r="37" spans="1:19" x14ac:dyDescent="0.25">
      <c r="A37" s="45" t="s">
        <v>381</v>
      </c>
      <c r="B37" t="s">
        <v>433</v>
      </c>
      <c r="C37" s="90">
        <v>16.642887808503861</v>
      </c>
      <c r="D37" s="90">
        <v>5.5476292695012868</v>
      </c>
      <c r="E37" s="90"/>
      <c r="F37" s="90">
        <v>11.703531353609911</v>
      </c>
      <c r="G37" s="90">
        <v>3.9011771178699703</v>
      </c>
      <c r="H37" s="90"/>
      <c r="I37" s="90">
        <v>31.861044448204694</v>
      </c>
      <c r="J37" s="90">
        <v>10.620348149401565</v>
      </c>
      <c r="K37" s="90"/>
      <c r="L37" s="90">
        <v>16.642887808503861</v>
      </c>
      <c r="M37" s="90">
        <v>5.5476292695012868</v>
      </c>
      <c r="N37" s="90"/>
      <c r="O37" s="90">
        <v>16.642887808503861</v>
      </c>
      <c r="P37" s="90">
        <v>5.5476292695012868</v>
      </c>
      <c r="Q37" s="90"/>
      <c r="R37" s="90" t="s">
        <v>442</v>
      </c>
      <c r="S37" s="90"/>
    </row>
    <row r="38" spans="1:19" x14ac:dyDescent="0.25">
      <c r="A38" s="45" t="s">
        <v>383</v>
      </c>
      <c r="B38" t="s">
        <v>433</v>
      </c>
      <c r="C38" s="90">
        <v>35.483124078716841</v>
      </c>
      <c r="D38" s="90">
        <v>11.827708026238948</v>
      </c>
      <c r="E38" s="90"/>
      <c r="F38" s="90">
        <v>18.323293395693192</v>
      </c>
      <c r="G38" s="90">
        <v>6.1077644652310639</v>
      </c>
      <c r="H38" s="90"/>
      <c r="I38" s="90">
        <v>46.749749576663568</v>
      </c>
      <c r="J38" s="90">
        <v>15.583249858887855</v>
      </c>
      <c r="K38" s="90"/>
      <c r="L38" s="90">
        <v>35.483124078716841</v>
      </c>
      <c r="M38" s="90">
        <v>11.827708026238948</v>
      </c>
      <c r="N38" s="90"/>
      <c r="O38" s="90">
        <v>35.483124078716841</v>
      </c>
      <c r="P38" s="90">
        <v>11.827708026238948</v>
      </c>
      <c r="Q38" s="90"/>
      <c r="R38" s="90" t="s">
        <v>442</v>
      </c>
      <c r="S38" s="90"/>
    </row>
    <row r="39" spans="1:19" x14ac:dyDescent="0.25">
      <c r="A39" s="45" t="s">
        <v>381</v>
      </c>
      <c r="B39" t="s">
        <v>432</v>
      </c>
      <c r="C39" s="90">
        <v>37.31413060058216</v>
      </c>
      <c r="D39" s="90">
        <v>12.438043533527386</v>
      </c>
      <c r="E39" s="90"/>
      <c r="F39" s="90">
        <v>26.239863083945572</v>
      </c>
      <c r="G39" s="90">
        <v>8.7466210279818579</v>
      </c>
      <c r="H39" s="90"/>
      <c r="I39" s="90">
        <v>71.433947478982518</v>
      </c>
      <c r="J39" s="90">
        <v>23.811315826327505</v>
      </c>
      <c r="K39" s="90"/>
      <c r="L39" s="90">
        <v>37.31413060058216</v>
      </c>
      <c r="M39" s="90">
        <v>12.438043533527386</v>
      </c>
      <c r="N39" s="90"/>
      <c r="O39" s="90">
        <v>37.31413060058216</v>
      </c>
      <c r="P39" s="90">
        <v>12.438043533527386</v>
      </c>
      <c r="Q39" s="90"/>
      <c r="R39" s="90" t="s">
        <v>442</v>
      </c>
      <c r="S39" s="90"/>
    </row>
    <row r="40" spans="1:19" x14ac:dyDescent="0.25">
      <c r="A40" s="45" t="s">
        <v>383</v>
      </c>
      <c r="B40" t="s">
        <v>432</v>
      </c>
      <c r="C40" s="90">
        <v>79.554818924716798</v>
      </c>
      <c r="D40" s="90">
        <v>26.518272974905603</v>
      </c>
      <c r="E40" s="90"/>
      <c r="F40" s="90">
        <v>41.081678292052622</v>
      </c>
      <c r="G40" s="90">
        <v>13.693892764017541</v>
      </c>
      <c r="H40" s="90"/>
      <c r="I40" s="90">
        <v>104.81511870534882</v>
      </c>
      <c r="J40" s="90">
        <v>34.938372901782941</v>
      </c>
      <c r="K40" s="90"/>
      <c r="L40" s="90">
        <v>79.554818924716798</v>
      </c>
      <c r="M40" s="90">
        <v>26.518272974905603</v>
      </c>
      <c r="N40" s="90"/>
      <c r="O40" s="90">
        <v>79.554818924716798</v>
      </c>
      <c r="P40" s="90">
        <v>26.518272974905603</v>
      </c>
      <c r="Q40" s="90"/>
      <c r="R40" s="90" t="s">
        <v>442</v>
      </c>
      <c r="S40" s="90"/>
    </row>
    <row r="41" spans="1:19" x14ac:dyDescent="0.25">
      <c r="A41" t="s">
        <v>396</v>
      </c>
      <c r="B41" t="s">
        <v>431</v>
      </c>
      <c r="C41" s="36">
        <v>41.016345057183621</v>
      </c>
      <c r="D41" s="36">
        <v>5.2024790787904136</v>
      </c>
      <c r="E41" s="36"/>
      <c r="F41" s="36">
        <v>41.016345057183621</v>
      </c>
      <c r="G41" s="36">
        <v>5.2024790787904136</v>
      </c>
      <c r="H41" s="36"/>
      <c r="I41" s="36">
        <v>41.016345057183621</v>
      </c>
      <c r="J41" s="36">
        <v>5.2024790787904136</v>
      </c>
      <c r="K41" s="36"/>
      <c r="L41" s="36">
        <v>41.016345057183621</v>
      </c>
      <c r="M41" s="36">
        <v>5.2024790787904136</v>
      </c>
      <c r="N41" s="36"/>
      <c r="O41" s="36">
        <v>41.016345057183621</v>
      </c>
      <c r="P41" s="36">
        <v>5.2024790787904136</v>
      </c>
      <c r="Q41" s="90"/>
      <c r="R41" s="90" t="s">
        <v>442</v>
      </c>
      <c r="S41" s="90"/>
    </row>
    <row r="42" spans="1:19" x14ac:dyDescent="0.25">
      <c r="A42" t="s">
        <v>396</v>
      </c>
      <c r="B42" t="s">
        <v>429</v>
      </c>
      <c r="C42" s="36">
        <v>102.54086264295913</v>
      </c>
      <c r="D42" s="36">
        <v>13.006197696976043</v>
      </c>
      <c r="E42" s="36"/>
      <c r="F42" s="36">
        <v>102.54086264295913</v>
      </c>
      <c r="G42" s="36">
        <v>13.006197696976043</v>
      </c>
      <c r="H42" s="36"/>
      <c r="I42" s="36">
        <v>102.54086264295913</v>
      </c>
      <c r="J42" s="36">
        <v>13.006197696976043</v>
      </c>
      <c r="K42" s="36"/>
      <c r="L42" s="36">
        <v>102.54086264295913</v>
      </c>
      <c r="M42" s="36">
        <v>13.006197696976043</v>
      </c>
      <c r="N42" s="36"/>
      <c r="O42" s="36">
        <v>102.54086264295913</v>
      </c>
      <c r="P42" s="36">
        <v>13.006197696976043</v>
      </c>
      <c r="Q42" s="90"/>
      <c r="R42" s="90" t="s">
        <v>442</v>
      </c>
      <c r="S42" s="90"/>
    </row>
    <row r="43" spans="1:19" x14ac:dyDescent="0.25">
      <c r="A43" s="45" t="s">
        <v>390</v>
      </c>
      <c r="B43" t="s">
        <v>430</v>
      </c>
      <c r="C43" s="90">
        <v>24.229743883408521</v>
      </c>
      <c r="D43" s="90"/>
      <c r="E43" s="90">
        <v>23.075946555627162</v>
      </c>
      <c r="F43" s="90">
        <v>28.781902123225507</v>
      </c>
      <c r="G43" s="90"/>
      <c r="H43" s="90">
        <v>27.411335355452866</v>
      </c>
      <c r="I43" s="90">
        <v>12.532626146590616</v>
      </c>
      <c r="J43" s="90"/>
      <c r="K43" s="90">
        <v>11.935834425324396</v>
      </c>
      <c r="L43" s="90">
        <v>24.229743883408521</v>
      </c>
      <c r="M43" s="90"/>
      <c r="N43" s="90">
        <v>23.075946555627162</v>
      </c>
      <c r="O43" s="90">
        <v>24.229743883408521</v>
      </c>
      <c r="P43" s="90"/>
      <c r="Q43" s="90">
        <v>23.075946555627162</v>
      </c>
      <c r="R43" s="90" t="s">
        <v>442</v>
      </c>
      <c r="S43" s="90"/>
    </row>
    <row r="44" spans="1:19" x14ac:dyDescent="0.25">
      <c r="A44" s="45" t="s">
        <v>392</v>
      </c>
      <c r="B44" t="s">
        <v>430</v>
      </c>
      <c r="C44" s="90">
        <v>4.8789574692579452</v>
      </c>
      <c r="D44" s="90"/>
      <c r="E44" s="90">
        <v>4.6466261611980428</v>
      </c>
      <c r="F44" s="90">
        <v>11.304601472893543</v>
      </c>
      <c r="G44" s="90"/>
      <c r="H44" s="90">
        <v>10.766287117041468</v>
      </c>
      <c r="I44" s="90">
        <v>2.5235986909954895</v>
      </c>
      <c r="J44" s="90"/>
      <c r="K44" s="90">
        <v>2.403427324757609</v>
      </c>
      <c r="L44" s="90">
        <v>4.8789574692579452</v>
      </c>
      <c r="M44" s="90"/>
      <c r="N44" s="90">
        <v>4.6466261611980428</v>
      </c>
      <c r="O44" s="90">
        <v>4.8789574692579452</v>
      </c>
      <c r="P44" s="90"/>
      <c r="Q44" s="90">
        <v>4.6466261611980428</v>
      </c>
      <c r="R44" s="90" t="s">
        <v>442</v>
      </c>
      <c r="S44" s="90"/>
    </row>
    <row r="45" spans="1:19" x14ac:dyDescent="0.25">
      <c r="A45" s="45" t="s">
        <v>393</v>
      </c>
      <c r="B45" t="s">
        <v>430</v>
      </c>
      <c r="C45" s="90">
        <v>4.1631853253870865</v>
      </c>
      <c r="D45" s="90"/>
      <c r="E45" s="90">
        <v>3.9649384051305585</v>
      </c>
      <c r="F45" s="90">
        <v>7.5293605431386839</v>
      </c>
      <c r="G45" s="90"/>
      <c r="H45" s="90">
        <v>7.1708195648939848</v>
      </c>
      <c r="I45" s="90">
        <v>2.1533717200278035</v>
      </c>
      <c r="J45" s="90"/>
      <c r="K45" s="90">
        <v>2.0508302095502891</v>
      </c>
      <c r="L45" s="90">
        <v>4.1631853253870865</v>
      </c>
      <c r="M45" s="90"/>
      <c r="N45" s="90">
        <v>3.9649384051305585</v>
      </c>
      <c r="O45" s="90">
        <v>4.1631853253870865</v>
      </c>
      <c r="P45" s="90"/>
      <c r="Q45" s="90">
        <v>3.9649384051305585</v>
      </c>
      <c r="R45" s="90" t="s">
        <v>442</v>
      </c>
      <c r="S45" s="90"/>
    </row>
    <row r="46" spans="1:19" x14ac:dyDescent="0.25">
      <c r="A46" s="45" t="s">
        <v>394</v>
      </c>
      <c r="B46" t="s">
        <v>430</v>
      </c>
      <c r="C46" s="90">
        <v>50.866010504211978</v>
      </c>
      <c r="D46" s="90"/>
      <c r="E46" s="90">
        <v>48.443819527820935</v>
      </c>
      <c r="F46" s="90">
        <v>58.205998434276282</v>
      </c>
      <c r="G46" s="90"/>
      <c r="H46" s="90">
        <v>55.434284223120265</v>
      </c>
      <c r="I46" s="90">
        <v>26.310005433213099</v>
      </c>
      <c r="J46" s="90"/>
      <c r="K46" s="90">
        <v>25.05714803163152</v>
      </c>
      <c r="L46" s="90">
        <v>50.866010504211978</v>
      </c>
      <c r="M46" s="90"/>
      <c r="N46" s="90">
        <v>48.443819527820935</v>
      </c>
      <c r="O46" s="90">
        <v>50.866010504211978</v>
      </c>
      <c r="P46" s="90"/>
      <c r="Q46" s="90">
        <v>48.443819527820935</v>
      </c>
      <c r="R46" s="90" t="s">
        <v>442</v>
      </c>
      <c r="S46" s="90"/>
    </row>
    <row r="47" spans="1:19" x14ac:dyDescent="0.25">
      <c r="A47" s="45" t="s">
        <v>387</v>
      </c>
      <c r="B47" t="s">
        <v>430</v>
      </c>
      <c r="C47" s="90">
        <v>22.336388090729063</v>
      </c>
      <c r="D47" s="90"/>
      <c r="E47" s="90">
        <v>744.54626969096876</v>
      </c>
      <c r="F47" s="90">
        <v>22.445265394061721</v>
      </c>
      <c r="G47" s="90"/>
      <c r="H47" s="90">
        <v>748.17551313539059</v>
      </c>
      <c r="I47" s="90">
        <v>22.336388090729063</v>
      </c>
      <c r="J47" s="90"/>
      <c r="K47" s="90">
        <v>744.54626969096876</v>
      </c>
      <c r="L47" s="90">
        <v>22.336388090729063</v>
      </c>
      <c r="M47" s="90"/>
      <c r="N47" s="90">
        <v>744.54626969096876</v>
      </c>
      <c r="O47" s="90">
        <v>22.336388090729063</v>
      </c>
      <c r="P47" s="90"/>
      <c r="Q47" s="90">
        <v>744.54626969096876</v>
      </c>
      <c r="R47" s="90" t="s">
        <v>442</v>
      </c>
      <c r="S47" s="90"/>
    </row>
    <row r="48" spans="1:19" x14ac:dyDescent="0.25">
      <c r="A48" s="45" t="s">
        <v>389</v>
      </c>
      <c r="B48" t="s">
        <v>430</v>
      </c>
      <c r="C48">
        <v>0</v>
      </c>
      <c r="E48">
        <v>0</v>
      </c>
      <c r="F48">
        <v>0</v>
      </c>
      <c r="H48">
        <v>0</v>
      </c>
      <c r="I48">
        <v>0</v>
      </c>
      <c r="K48">
        <v>0</v>
      </c>
      <c r="L48">
        <v>0</v>
      </c>
      <c r="N48">
        <v>0</v>
      </c>
      <c r="O48">
        <v>0</v>
      </c>
      <c r="P48" s="90"/>
      <c r="Q48" s="90">
        <v>0</v>
      </c>
      <c r="R48" s="90" t="s">
        <v>442</v>
      </c>
      <c r="S48" s="90"/>
    </row>
    <row r="49" spans="1:19" x14ac:dyDescent="0.25">
      <c r="A49" s="45" t="s">
        <v>381</v>
      </c>
      <c r="B49" t="s">
        <v>428</v>
      </c>
      <c r="C49" s="90">
        <v>142.97203724854634</v>
      </c>
      <c r="D49" s="90">
        <v>47.65734574951545</v>
      </c>
      <c r="E49" s="90"/>
      <c r="F49" s="90">
        <v>100.54010697427567</v>
      </c>
      <c r="G49" s="90">
        <v>33.513368991425224</v>
      </c>
      <c r="H49" s="90"/>
      <c r="I49" s="90">
        <v>273.70480928789084</v>
      </c>
      <c r="J49" s="90">
        <v>91.234936429296951</v>
      </c>
      <c r="K49" s="90"/>
      <c r="L49" s="90">
        <v>142.97203724854634</v>
      </c>
      <c r="M49" s="90">
        <v>47.65734574951545</v>
      </c>
      <c r="N49" s="90"/>
      <c r="O49" s="90">
        <v>142.97203724854634</v>
      </c>
      <c r="P49" s="90">
        <v>47.65734574951545</v>
      </c>
      <c r="Q49" s="90"/>
      <c r="R49" s="90" t="s">
        <v>442</v>
      </c>
      <c r="S49" s="90"/>
    </row>
    <row r="50" spans="1:19" x14ac:dyDescent="0.25">
      <c r="A50" s="45" t="s">
        <v>383</v>
      </c>
      <c r="B50" t="s">
        <v>428</v>
      </c>
      <c r="C50" s="90">
        <v>304.82056935365176</v>
      </c>
      <c r="D50" s="90">
        <v>101.60685645121725</v>
      </c>
      <c r="E50" s="90"/>
      <c r="F50" s="90">
        <v>157.40769366639108</v>
      </c>
      <c r="G50" s="90">
        <v>52.469231222130361</v>
      </c>
      <c r="H50" s="90"/>
      <c r="I50" s="90">
        <v>401.60740219733651</v>
      </c>
      <c r="J50" s="90">
        <v>133.86913406577884</v>
      </c>
      <c r="K50" s="90"/>
      <c r="L50" s="90">
        <v>304.82056935365176</v>
      </c>
      <c r="M50" s="90">
        <v>101.60685645121725</v>
      </c>
      <c r="N50" s="90"/>
      <c r="O50" s="90">
        <v>304.82056935365176</v>
      </c>
      <c r="P50" s="90">
        <v>101.60685645121725</v>
      </c>
      <c r="Q50" s="90"/>
      <c r="R50" s="90" t="s">
        <v>442</v>
      </c>
      <c r="S50" s="90"/>
    </row>
    <row r="51" spans="1:19" x14ac:dyDescent="0.25">
      <c r="A51" t="s">
        <v>396</v>
      </c>
      <c r="B51" t="s">
        <v>428</v>
      </c>
      <c r="C51" s="36">
        <v>779.31055608648967</v>
      </c>
      <c r="D51" s="36">
        <v>98.847102497017971</v>
      </c>
      <c r="E51" s="36"/>
      <c r="F51" s="36">
        <v>779.31055608648967</v>
      </c>
      <c r="G51" s="36">
        <v>98.847102497017971</v>
      </c>
      <c r="H51" s="36"/>
      <c r="I51" s="36">
        <v>779.31055608648967</v>
      </c>
      <c r="J51" s="36">
        <v>98.847102497017971</v>
      </c>
      <c r="K51" s="36"/>
      <c r="L51" s="36">
        <v>779.31055608648967</v>
      </c>
      <c r="M51" s="36">
        <v>98.847102497017971</v>
      </c>
      <c r="N51" s="36"/>
      <c r="O51" s="36">
        <v>779.31055608648967</v>
      </c>
      <c r="P51" s="36">
        <v>98.847102497017971</v>
      </c>
      <c r="Q51" s="90"/>
      <c r="R51" s="90" t="s">
        <v>442</v>
      </c>
      <c r="S51" s="90"/>
    </row>
    <row r="52" spans="1:19" x14ac:dyDescent="0.25">
      <c r="A52" s="45" t="s">
        <v>381</v>
      </c>
      <c r="B52" t="s">
        <v>427</v>
      </c>
      <c r="C52" s="90">
        <v>93.848311629815115</v>
      </c>
      <c r="D52" s="90">
        <v>31.282770543271706</v>
      </c>
      <c r="E52" s="90"/>
      <c r="F52" s="90">
        <v>35.354762892053017</v>
      </c>
      <c r="G52" s="90">
        <v>11.784920964017672</v>
      </c>
      <c r="H52" s="90"/>
      <c r="I52" s="90">
        <v>179.66264404538492</v>
      </c>
      <c r="J52" s="90">
        <v>59.887548015128303</v>
      </c>
      <c r="K52" s="90"/>
      <c r="L52" s="90">
        <v>93.848311629815115</v>
      </c>
      <c r="M52" s="90">
        <v>31.282770543271706</v>
      </c>
      <c r="N52" s="90"/>
      <c r="O52" s="90">
        <v>93.848311629815115</v>
      </c>
      <c r="P52" s="90">
        <v>31.282770543271706</v>
      </c>
      <c r="Q52" s="90"/>
      <c r="R52" s="90" t="s">
        <v>442</v>
      </c>
      <c r="S52" s="90"/>
    </row>
    <row r="53" spans="1:19" x14ac:dyDescent="0.25">
      <c r="A53" s="45" t="s">
        <v>383</v>
      </c>
      <c r="B53" t="s">
        <v>427</v>
      </c>
      <c r="C53" s="90">
        <v>200.08734808855101</v>
      </c>
      <c r="D53" s="90">
        <v>66.69578269618367</v>
      </c>
      <c r="E53" s="90"/>
      <c r="F53" s="90">
        <v>55.352156014555163</v>
      </c>
      <c r="G53" s="90">
        <v>18.450718671518388</v>
      </c>
      <c r="H53" s="90"/>
      <c r="I53" s="90">
        <v>263.6192178526108</v>
      </c>
      <c r="J53" s="90">
        <v>87.873072617536934</v>
      </c>
      <c r="K53" s="90"/>
      <c r="L53" s="90">
        <v>200.08734808855101</v>
      </c>
      <c r="M53" s="90">
        <v>66.69578269618367</v>
      </c>
      <c r="N53" s="90"/>
      <c r="O53" s="90">
        <v>200.08734808855101</v>
      </c>
      <c r="P53" s="90">
        <v>66.69578269618367</v>
      </c>
      <c r="Q53" s="90"/>
      <c r="R53" s="90" t="s">
        <v>442</v>
      </c>
      <c r="S53" s="90"/>
    </row>
    <row r="54" spans="1:19" x14ac:dyDescent="0.25">
      <c r="A54" t="s">
        <v>396</v>
      </c>
      <c r="B54" t="s">
        <v>426</v>
      </c>
      <c r="C54" s="36">
        <v>0</v>
      </c>
      <c r="D54" s="36">
        <v>0</v>
      </c>
      <c r="E54" s="36"/>
      <c r="F54" s="36">
        <v>0</v>
      </c>
      <c r="G54" s="36">
        <v>0</v>
      </c>
      <c r="H54" s="36"/>
      <c r="I54" s="36">
        <v>0</v>
      </c>
      <c r="J54" s="36">
        <v>0</v>
      </c>
      <c r="K54" s="36"/>
      <c r="L54" s="36">
        <v>0</v>
      </c>
      <c r="M54" s="36">
        <v>0</v>
      </c>
      <c r="N54" s="36"/>
      <c r="O54" s="36">
        <v>0</v>
      </c>
      <c r="P54" s="90">
        <v>0</v>
      </c>
      <c r="Q54" s="90"/>
      <c r="R54" s="90"/>
      <c r="S54" s="90"/>
    </row>
    <row r="55" spans="1:19" x14ac:dyDescent="0.25">
      <c r="A55" s="45" t="s">
        <v>381</v>
      </c>
      <c r="B55" t="s">
        <v>425</v>
      </c>
      <c r="C55" s="90">
        <v>68.919853853145469</v>
      </c>
      <c r="D55" s="90"/>
      <c r="E55" s="90"/>
      <c r="F55" s="90">
        <v>422.37893292599591</v>
      </c>
      <c r="G55" s="90"/>
      <c r="H55" s="90"/>
      <c r="I55" s="90">
        <v>131.93975422082954</v>
      </c>
      <c r="J55" s="90"/>
      <c r="K55" s="90"/>
      <c r="L55" s="90">
        <v>68.919853853145469</v>
      </c>
      <c r="M55" s="90"/>
      <c r="N55" s="90"/>
      <c r="O55" s="90">
        <v>68.919853853145469</v>
      </c>
      <c r="P55" s="90"/>
      <c r="Q55" s="90"/>
      <c r="R55" s="90"/>
      <c r="S55" s="90"/>
    </row>
    <row r="56" spans="1:19" x14ac:dyDescent="0.25">
      <c r="A56" s="45" t="s">
        <v>383</v>
      </c>
      <c r="B56" t="s">
        <v>425</v>
      </c>
      <c r="C56" s="90">
        <v>146.9391462525297</v>
      </c>
      <c r="D56" s="90"/>
      <c r="E56" s="90"/>
      <c r="F56" s="90">
        <v>40.6492395731889</v>
      </c>
      <c r="G56" s="90"/>
      <c r="H56" s="90"/>
      <c r="I56" s="90">
        <v>193.5953631105111</v>
      </c>
      <c r="J56" s="90"/>
      <c r="K56" s="90"/>
      <c r="L56" s="90">
        <v>146.9391462525297</v>
      </c>
      <c r="M56" s="90"/>
      <c r="N56" s="90"/>
      <c r="O56" s="90">
        <v>146.9391462525297</v>
      </c>
      <c r="P56" s="90"/>
      <c r="Q56" s="90"/>
      <c r="R56" s="90"/>
      <c r="S56" s="90"/>
    </row>
    <row r="57" spans="1:19" x14ac:dyDescent="0.25">
      <c r="A57" s="45" t="s">
        <v>381</v>
      </c>
      <c r="B57" t="s">
        <v>424</v>
      </c>
      <c r="C57" s="90">
        <v>0</v>
      </c>
      <c r="D57" s="90">
        <v>0</v>
      </c>
      <c r="E57" s="90"/>
      <c r="F57" s="90">
        <v>0</v>
      </c>
      <c r="G57" s="90">
        <v>0</v>
      </c>
      <c r="H57" s="90"/>
      <c r="I57" s="90">
        <v>0</v>
      </c>
      <c r="J57" s="90">
        <v>0</v>
      </c>
      <c r="K57" s="90"/>
      <c r="L57" s="90">
        <v>0</v>
      </c>
      <c r="M57" s="90">
        <v>0</v>
      </c>
      <c r="N57" s="90"/>
      <c r="O57" s="90">
        <v>0</v>
      </c>
      <c r="P57" s="90">
        <v>0</v>
      </c>
      <c r="Q57" s="90"/>
      <c r="R57" s="90"/>
      <c r="S57" s="90"/>
    </row>
    <row r="58" spans="1:19" x14ac:dyDescent="0.25">
      <c r="A58" s="45" t="s">
        <v>383</v>
      </c>
      <c r="B58" t="s">
        <v>424</v>
      </c>
      <c r="C58">
        <v>0</v>
      </c>
      <c r="D58">
        <v>0</v>
      </c>
      <c r="F58">
        <v>0</v>
      </c>
      <c r="G58">
        <v>0</v>
      </c>
      <c r="I58">
        <v>0</v>
      </c>
      <c r="J58">
        <v>0</v>
      </c>
      <c r="L58">
        <v>0</v>
      </c>
      <c r="M58">
        <v>0</v>
      </c>
      <c r="O58">
        <v>0</v>
      </c>
      <c r="P58" s="90">
        <v>0</v>
      </c>
      <c r="Q58" s="90"/>
      <c r="R58" s="90"/>
      <c r="S58" s="90"/>
    </row>
    <row r="59" spans="1:19" x14ac:dyDescent="0.25">
      <c r="A59" s="45" t="s">
        <v>381</v>
      </c>
      <c r="B59" t="s">
        <v>422</v>
      </c>
      <c r="C59" s="90">
        <v>0</v>
      </c>
      <c r="D59" s="90">
        <v>0</v>
      </c>
      <c r="E59" s="90"/>
      <c r="F59" s="90">
        <v>0</v>
      </c>
      <c r="G59" s="90">
        <v>0</v>
      </c>
      <c r="H59" s="90"/>
      <c r="I59" s="90">
        <v>0</v>
      </c>
      <c r="J59" s="90">
        <v>0</v>
      </c>
      <c r="K59" s="90"/>
      <c r="L59" s="90">
        <v>0</v>
      </c>
      <c r="M59" s="90">
        <v>0</v>
      </c>
      <c r="N59" s="90"/>
      <c r="O59" s="90">
        <v>0</v>
      </c>
      <c r="P59" s="90">
        <v>0</v>
      </c>
      <c r="Q59" s="90"/>
      <c r="R59" s="90"/>
      <c r="S59" s="90"/>
    </row>
    <row r="60" spans="1:19" x14ac:dyDescent="0.25">
      <c r="A60" s="45" t="s">
        <v>383</v>
      </c>
      <c r="B60" t="s">
        <v>422</v>
      </c>
      <c r="C60">
        <v>0</v>
      </c>
      <c r="D60">
        <v>0</v>
      </c>
      <c r="F60">
        <v>0</v>
      </c>
      <c r="G60">
        <v>0</v>
      </c>
      <c r="I60">
        <v>0</v>
      </c>
      <c r="J60">
        <v>0</v>
      </c>
      <c r="L60">
        <v>0</v>
      </c>
      <c r="M60">
        <v>0</v>
      </c>
      <c r="O60">
        <v>0</v>
      </c>
      <c r="P60" s="90">
        <v>0</v>
      </c>
      <c r="Q60" s="90"/>
      <c r="R60" s="90"/>
      <c r="S60" s="90"/>
    </row>
    <row r="61" spans="1:19" x14ac:dyDescent="0.25">
      <c r="A61" t="s">
        <v>396</v>
      </c>
      <c r="B61" t="s">
        <v>423</v>
      </c>
      <c r="C61" s="36">
        <v>94.933561709710006</v>
      </c>
      <c r="D61" s="36">
        <v>12.041293976371131</v>
      </c>
      <c r="E61" s="36"/>
      <c r="F61" s="36">
        <v>11.866695213713751</v>
      </c>
      <c r="G61" s="36">
        <v>1.5051617470463914</v>
      </c>
      <c r="H61" s="36"/>
      <c r="I61" s="36">
        <v>11.866695213713751</v>
      </c>
      <c r="J61" s="36">
        <v>1.5051617470463914</v>
      </c>
      <c r="K61" s="36"/>
      <c r="L61" s="36">
        <v>0</v>
      </c>
      <c r="M61" s="36">
        <v>0</v>
      </c>
      <c r="N61" s="36"/>
      <c r="O61" s="36">
        <v>11.866695213713751</v>
      </c>
      <c r="P61" s="36">
        <v>1.5051617470463914</v>
      </c>
      <c r="Q61" s="90"/>
      <c r="R61" s="90"/>
      <c r="S61" s="90"/>
    </row>
    <row r="62" spans="1:19" x14ac:dyDescent="0.25">
      <c r="A62" t="s">
        <v>396</v>
      </c>
      <c r="B62" t="s">
        <v>421</v>
      </c>
      <c r="C62" s="36">
        <v>146.75894741613246</v>
      </c>
      <c r="D62" s="36">
        <v>18.614782777287221</v>
      </c>
      <c r="E62" s="36"/>
      <c r="F62" s="36">
        <v>73.379473708066229</v>
      </c>
      <c r="G62" s="36">
        <v>9.3073913886436106</v>
      </c>
      <c r="H62" s="36"/>
      <c r="I62" s="36">
        <v>73.379473708066229</v>
      </c>
      <c r="J62" s="36">
        <v>9.3073913886436106</v>
      </c>
      <c r="K62" s="36"/>
      <c r="L62" s="36">
        <v>0</v>
      </c>
      <c r="M62" s="36">
        <v>0</v>
      </c>
      <c r="N62" s="36"/>
      <c r="O62" s="36">
        <v>73.379473708066229</v>
      </c>
      <c r="P62" s="36">
        <v>9.3073913886436106</v>
      </c>
      <c r="Q62" s="90"/>
      <c r="R62" s="90"/>
      <c r="S62" s="90"/>
    </row>
    <row r="63" spans="1:19" x14ac:dyDescent="0.25">
      <c r="A63" s="45" t="s">
        <v>390</v>
      </c>
      <c r="B63" t="s">
        <v>420</v>
      </c>
      <c r="C63" s="90">
        <v>77.918818038394576</v>
      </c>
      <c r="D63" s="90"/>
      <c r="E63" s="90">
        <v>152.78199615371486</v>
      </c>
      <c r="F63" s="90">
        <v>44.85179747535976</v>
      </c>
      <c r="G63" s="90"/>
      <c r="H63" s="90">
        <v>87.94470093207795</v>
      </c>
      <c r="I63" s="90">
        <v>19.530009078437043</v>
      </c>
      <c r="J63" s="90"/>
      <c r="K63" s="90">
        <v>38.294135447915771</v>
      </c>
      <c r="L63" s="90">
        <v>30.618319687333905</v>
      </c>
      <c r="M63" s="90"/>
      <c r="N63" s="90">
        <v>60.035920955556676</v>
      </c>
      <c r="O63" s="90">
        <v>37.758017551644947</v>
      </c>
      <c r="P63" s="90"/>
      <c r="Q63" s="90">
        <v>74.035328532637152</v>
      </c>
      <c r="R63" s="90"/>
      <c r="S63" s="90" t="s">
        <v>442</v>
      </c>
    </row>
    <row r="64" spans="1:19" x14ac:dyDescent="0.25">
      <c r="A64" s="45" t="s">
        <v>392</v>
      </c>
      <c r="B64" t="s">
        <v>420</v>
      </c>
      <c r="C64" s="90">
        <v>78.449570307776753</v>
      </c>
      <c r="D64" s="90"/>
      <c r="E64" s="90">
        <v>153.82268687799365</v>
      </c>
      <c r="F64" s="90">
        <v>163.03119424157981</v>
      </c>
      <c r="G64" s="90"/>
      <c r="H64" s="90">
        <v>319.66900831682318</v>
      </c>
      <c r="I64" s="90">
        <v>36.394499121973318</v>
      </c>
      <c r="J64" s="90"/>
      <c r="K64" s="90">
        <v>71.361762984261404</v>
      </c>
      <c r="L64" s="90">
        <v>29.029796942084793</v>
      </c>
      <c r="M64" s="90"/>
      <c r="N64" s="90">
        <v>56.92117047467606</v>
      </c>
      <c r="O64" s="90">
        <v>70.362698302481718</v>
      </c>
      <c r="P64" s="90"/>
      <c r="Q64" s="90">
        <v>137.96607510290534</v>
      </c>
      <c r="R64" s="90"/>
      <c r="S64" s="90" t="s">
        <v>442</v>
      </c>
    </row>
    <row r="65" spans="1:19" x14ac:dyDescent="0.25">
      <c r="A65" s="45" t="s">
        <v>393</v>
      </c>
      <c r="B65" t="s">
        <v>420</v>
      </c>
      <c r="C65" s="90">
        <v>132.34766149405561</v>
      </c>
      <c r="D65" s="90"/>
      <c r="E65" s="90">
        <v>259.50521861579534</v>
      </c>
      <c r="F65" s="90">
        <v>117.3325351305779</v>
      </c>
      <c r="G65" s="90"/>
      <c r="H65" s="90">
        <v>230.06379437368216</v>
      </c>
      <c r="I65" s="90">
        <v>33.556709303766624</v>
      </c>
      <c r="J65" s="90"/>
      <c r="K65" s="90">
        <v>65.797469223071815</v>
      </c>
      <c r="L65" s="90">
        <v>61.80942479758032</v>
      </c>
      <c r="M65" s="90"/>
      <c r="N65" s="90">
        <v>121.19495058349081</v>
      </c>
      <c r="O65" s="90">
        <v>64.876304653948822</v>
      </c>
      <c r="P65" s="90"/>
      <c r="Q65" s="90">
        <v>127.20844049793885</v>
      </c>
      <c r="R65" s="90"/>
      <c r="S65" s="90" t="s">
        <v>442</v>
      </c>
    </row>
    <row r="66" spans="1:19" x14ac:dyDescent="0.25">
      <c r="A66" s="45" t="s">
        <v>394</v>
      </c>
      <c r="B66" t="s">
        <v>420</v>
      </c>
      <c r="C66" s="90">
        <v>287.03972316474039</v>
      </c>
      <c r="D66" s="90"/>
      <c r="E66" s="90">
        <v>562.82298659753019</v>
      </c>
      <c r="F66" s="90">
        <v>167.66561215651245</v>
      </c>
      <c r="G66" s="90"/>
      <c r="H66" s="90">
        <v>328.75610226767145</v>
      </c>
      <c r="I66" s="90">
        <v>75.787432317338812</v>
      </c>
      <c r="J66" s="90"/>
      <c r="K66" s="90">
        <v>148.6028084653702</v>
      </c>
      <c r="L66" s="90">
        <v>115.29629047621376</v>
      </c>
      <c r="M66" s="90"/>
      <c r="N66" s="90">
        <v>226.07115779649757</v>
      </c>
      <c r="O66" s="90">
        <v>146.52236914685503</v>
      </c>
      <c r="P66" s="90"/>
      <c r="Q66" s="90">
        <v>287.29876303304906</v>
      </c>
      <c r="R66" s="90"/>
      <c r="S66" s="90" t="s">
        <v>442</v>
      </c>
    </row>
    <row r="67" spans="1:19" x14ac:dyDescent="0.25">
      <c r="A67" s="45" t="s">
        <v>387</v>
      </c>
      <c r="B67" t="s">
        <v>420</v>
      </c>
      <c r="C67" s="90">
        <v>658.86073809118557</v>
      </c>
      <c r="D67" s="90"/>
      <c r="E67" s="90">
        <v>29282.699470719359</v>
      </c>
      <c r="F67" s="90">
        <v>244.25968823988418</v>
      </c>
      <c r="G67" s="90"/>
      <c r="H67" s="90">
        <v>10855.986143994851</v>
      </c>
      <c r="I67" s="90">
        <v>243.07483541228206</v>
      </c>
      <c r="J67" s="90"/>
      <c r="K67" s="90">
        <v>10803.326018323647</v>
      </c>
      <c r="L67" s="90">
        <v>243.07483541228206</v>
      </c>
      <c r="M67" s="90"/>
      <c r="N67" s="90">
        <v>10803.326018323647</v>
      </c>
      <c r="O67" s="90">
        <v>243.07483541228206</v>
      </c>
      <c r="P67" s="90"/>
      <c r="Q67" s="90">
        <v>10803.326018323647</v>
      </c>
      <c r="R67" s="90"/>
      <c r="S67" s="90" t="s">
        <v>442</v>
      </c>
    </row>
    <row r="68" spans="1:19" x14ac:dyDescent="0.25">
      <c r="A68" s="45" t="s">
        <v>389</v>
      </c>
      <c r="B68" t="s">
        <v>420</v>
      </c>
      <c r="C68" s="90">
        <v>90.166188406336957</v>
      </c>
      <c r="D68" s="90"/>
      <c r="E68" s="90">
        <v>4007.3861513927536</v>
      </c>
      <c r="F68" s="90">
        <v>41.501430528464866</v>
      </c>
      <c r="G68" s="90"/>
      <c r="H68" s="90">
        <v>1844.5080234873274</v>
      </c>
      <c r="I68" s="90">
        <v>21.173508380936372</v>
      </c>
      <c r="J68" s="90"/>
      <c r="K68" s="90">
        <v>941.04481693050548</v>
      </c>
      <c r="L68" s="90">
        <v>19.836561449394146</v>
      </c>
      <c r="M68" s="90"/>
      <c r="N68" s="90">
        <v>881.62495330640638</v>
      </c>
      <c r="O68" s="90">
        <v>40.935449536477002</v>
      </c>
      <c r="P68" s="90"/>
      <c r="Q68" s="90">
        <v>1819.353312732311</v>
      </c>
      <c r="R68" s="90"/>
      <c r="S68" s="90" t="s">
        <v>442</v>
      </c>
    </row>
    <row r="69" spans="1:19" x14ac:dyDescent="0.25">
      <c r="A69" s="45" t="s">
        <v>381</v>
      </c>
      <c r="B69" t="s">
        <v>419</v>
      </c>
      <c r="C69" s="90">
        <v>112.74366365885379</v>
      </c>
      <c r="D69" s="90">
        <v>37.58122121961793</v>
      </c>
      <c r="E69" s="90"/>
      <c r="F69" s="90">
        <v>0</v>
      </c>
      <c r="G69" s="90">
        <v>0</v>
      </c>
      <c r="H69" s="90"/>
      <c r="I69" s="90">
        <v>53.958948116755678</v>
      </c>
      <c r="J69" s="90">
        <v>17.986316038918559</v>
      </c>
      <c r="K69" s="90"/>
      <c r="L69" s="90">
        <v>11.274366365885378</v>
      </c>
      <c r="M69" s="90">
        <v>3.7581221219617928</v>
      </c>
      <c r="N69" s="90"/>
      <c r="O69" s="90">
        <v>28.185915914713448</v>
      </c>
      <c r="P69" s="90">
        <v>9.3953053049044826</v>
      </c>
      <c r="Q69" s="90"/>
      <c r="R69" s="90"/>
      <c r="S69" s="90" t="s">
        <v>442</v>
      </c>
    </row>
    <row r="70" spans="1:19" x14ac:dyDescent="0.25">
      <c r="A70" s="45" t="s">
        <v>383</v>
      </c>
      <c r="B70" t="s">
        <v>419</v>
      </c>
      <c r="C70" s="90">
        <v>240.37279183316559</v>
      </c>
      <c r="D70" s="90">
        <v>80.124263944388531</v>
      </c>
      <c r="E70" s="90"/>
      <c r="F70" s="90">
        <v>0</v>
      </c>
      <c r="G70" s="90">
        <v>0</v>
      </c>
      <c r="H70" s="90"/>
      <c r="I70" s="90">
        <v>79.174030718903552</v>
      </c>
      <c r="J70" s="90">
        <v>26.391343572967852</v>
      </c>
      <c r="K70" s="90"/>
      <c r="L70" s="90">
        <v>24.037279183316556</v>
      </c>
      <c r="M70" s="90">
        <v>8.0124263944388527</v>
      </c>
      <c r="N70" s="90"/>
      <c r="O70" s="90">
        <v>60.093197958291398</v>
      </c>
      <c r="P70" s="90">
        <v>20.031065986097133</v>
      </c>
      <c r="Q70" s="90"/>
      <c r="R70" s="90"/>
      <c r="S70" s="90" t="s">
        <v>442</v>
      </c>
    </row>
    <row r="71" spans="1:19" x14ac:dyDescent="0.25">
      <c r="A71" s="45" t="s">
        <v>390</v>
      </c>
      <c r="B71" t="s">
        <v>418</v>
      </c>
      <c r="C71" s="90">
        <v>14.537846330045125</v>
      </c>
      <c r="D71" s="90"/>
      <c r="E71" s="90">
        <v>13.84556793337631</v>
      </c>
      <c r="F71" s="90">
        <v>17.269141273935318</v>
      </c>
      <c r="G71" s="90"/>
      <c r="H71" s="90">
        <v>16.446801213271733</v>
      </c>
      <c r="I71" s="90">
        <v>7.5195756879543767</v>
      </c>
      <c r="J71" s="90"/>
      <c r="K71" s="90">
        <v>7.1615006551946445</v>
      </c>
      <c r="L71" s="90">
        <v>14.537846330045125</v>
      </c>
      <c r="M71" s="90"/>
      <c r="N71" s="90">
        <v>13.84556793337631</v>
      </c>
      <c r="O71" s="90">
        <v>14.537846330045125</v>
      </c>
      <c r="P71" s="90"/>
      <c r="Q71" s="90">
        <v>13.84556793337631</v>
      </c>
      <c r="R71" s="90" t="s">
        <v>442</v>
      </c>
      <c r="S71" s="90"/>
    </row>
    <row r="72" spans="1:19" x14ac:dyDescent="0.25">
      <c r="A72" s="45" t="s">
        <v>392</v>
      </c>
      <c r="B72" t="s">
        <v>418</v>
      </c>
      <c r="C72" s="90">
        <v>24.394787346289743</v>
      </c>
      <c r="D72" s="90"/>
      <c r="E72" s="90">
        <v>23.233130805990228</v>
      </c>
      <c r="F72" s="90">
        <v>56.523007364467745</v>
      </c>
      <c r="G72" s="90"/>
      <c r="H72" s="90">
        <v>53.83143558520738</v>
      </c>
      <c r="I72" s="90">
        <v>12.617993454977455</v>
      </c>
      <c r="J72" s="90"/>
      <c r="K72" s="90">
        <v>12.017136623788051</v>
      </c>
      <c r="L72" s="90">
        <v>24.394787346289743</v>
      </c>
      <c r="M72" s="90"/>
      <c r="N72" s="90">
        <v>23.233130805990228</v>
      </c>
      <c r="O72" s="90">
        <v>24.394787346289743</v>
      </c>
      <c r="P72" s="90"/>
      <c r="Q72" s="90">
        <v>23.233130805990228</v>
      </c>
      <c r="R72" s="90" t="s">
        <v>442</v>
      </c>
      <c r="S72" s="90"/>
    </row>
    <row r="73" spans="1:19" x14ac:dyDescent="0.25">
      <c r="A73" s="45" t="s">
        <v>393</v>
      </c>
      <c r="B73" t="s">
        <v>418</v>
      </c>
      <c r="C73" s="90">
        <v>91.590077158515882</v>
      </c>
      <c r="D73" s="90"/>
      <c r="E73" s="90">
        <v>87.228644912872269</v>
      </c>
      <c r="F73" s="90">
        <v>165.645931949051</v>
      </c>
      <c r="G73" s="90"/>
      <c r="H73" s="90">
        <v>157.75803042766762</v>
      </c>
      <c r="I73" s="90">
        <v>47.374177840611658</v>
      </c>
      <c r="J73" s="90"/>
      <c r="K73" s="90">
        <v>45.118264610106337</v>
      </c>
      <c r="L73" s="90">
        <v>91.590077158515882</v>
      </c>
      <c r="M73" s="90"/>
      <c r="N73" s="90">
        <v>87.228644912872269</v>
      </c>
      <c r="O73" s="90">
        <v>91.590077158515882</v>
      </c>
      <c r="P73" s="90"/>
      <c r="Q73" s="90">
        <v>87.228644912872269</v>
      </c>
      <c r="R73" s="90" t="s">
        <v>442</v>
      </c>
      <c r="S73" s="90"/>
    </row>
    <row r="74" spans="1:19" x14ac:dyDescent="0.25">
      <c r="A74" s="45" t="s">
        <v>394</v>
      </c>
      <c r="B74" t="s">
        <v>418</v>
      </c>
      <c r="C74" s="90">
        <v>59.343678921580569</v>
      </c>
      <c r="D74" s="90"/>
      <c r="E74" s="90">
        <v>56.517789449124351</v>
      </c>
      <c r="F74" s="90">
        <v>67.906998173322236</v>
      </c>
      <c r="G74" s="90"/>
      <c r="H74" s="90">
        <v>64.673331593640228</v>
      </c>
      <c r="I74" s="90">
        <v>30.695006338748566</v>
      </c>
      <c r="J74" s="90"/>
      <c r="K74" s="90">
        <v>29.233339370236731</v>
      </c>
      <c r="L74" s="90">
        <v>59.343678921580569</v>
      </c>
      <c r="M74" s="90"/>
      <c r="N74" s="90">
        <v>56.517789449124351</v>
      </c>
      <c r="O74" s="90">
        <v>59.343678921580569</v>
      </c>
      <c r="P74" s="90"/>
      <c r="Q74" s="90">
        <v>56.517789449124351</v>
      </c>
      <c r="R74" s="90" t="s">
        <v>442</v>
      </c>
      <c r="S74" s="90"/>
    </row>
    <row r="75" spans="1:19" x14ac:dyDescent="0.25">
      <c r="A75" s="45" t="s">
        <v>387</v>
      </c>
      <c r="B75" t="s">
        <v>418</v>
      </c>
      <c r="C75" s="90">
        <v>44.672776181458126</v>
      </c>
      <c r="D75" s="90"/>
      <c r="E75" s="90">
        <v>1489.0925393819375</v>
      </c>
      <c r="F75" s="90">
        <v>44.890530788123442</v>
      </c>
      <c r="G75" s="90"/>
      <c r="H75" s="90">
        <v>1496.3510262707812</v>
      </c>
      <c r="I75" s="90">
        <v>44.672776181458126</v>
      </c>
      <c r="J75" s="90"/>
      <c r="K75" s="90">
        <v>1489.0925393819375</v>
      </c>
      <c r="L75" s="90">
        <v>44.672776181458126</v>
      </c>
      <c r="M75" s="90"/>
      <c r="N75" s="90">
        <v>1489.0925393819375</v>
      </c>
      <c r="O75" s="90">
        <v>44.672776181458126</v>
      </c>
      <c r="P75" s="90"/>
      <c r="Q75" s="90">
        <v>1489.0925393819375</v>
      </c>
      <c r="R75" s="90" t="s">
        <v>442</v>
      </c>
      <c r="S75" s="90"/>
    </row>
    <row r="76" spans="1:19" x14ac:dyDescent="0.25">
      <c r="A76" s="45" t="s">
        <v>389</v>
      </c>
      <c r="B76" t="s">
        <v>418</v>
      </c>
      <c r="C76" s="90">
        <v>29.754842174091173</v>
      </c>
      <c r="D76" s="90"/>
      <c r="E76" s="90">
        <v>991.82807246970572</v>
      </c>
      <c r="F76" s="90">
        <v>30.166238049324647</v>
      </c>
      <c r="G76" s="90"/>
      <c r="H76" s="90">
        <v>1005.5412683108215</v>
      </c>
      <c r="I76" s="90">
        <v>15.390435607288534</v>
      </c>
      <c r="J76" s="90"/>
      <c r="K76" s="90">
        <v>513.01452024295111</v>
      </c>
      <c r="L76" s="90">
        <v>29.754842174091173</v>
      </c>
      <c r="M76" s="90"/>
      <c r="N76" s="90">
        <v>991.82807246970572</v>
      </c>
      <c r="O76" s="90">
        <v>29.754842174091173</v>
      </c>
      <c r="P76" s="90"/>
      <c r="Q76" s="90">
        <v>991.82807246970572</v>
      </c>
      <c r="R76" s="90" t="s">
        <v>442</v>
      </c>
      <c r="S76" s="90"/>
    </row>
    <row r="77" spans="1:19" x14ac:dyDescent="0.25">
      <c r="A77" s="45" t="s">
        <v>387</v>
      </c>
      <c r="B77" t="s">
        <v>417</v>
      </c>
      <c r="C77" s="90">
        <v>0</v>
      </c>
      <c r="D77" s="90"/>
      <c r="E77" s="90">
        <v>0</v>
      </c>
      <c r="F77" s="90">
        <v>0</v>
      </c>
      <c r="G77" s="90"/>
      <c r="H77" s="90">
        <v>0</v>
      </c>
      <c r="I77" s="90">
        <v>0</v>
      </c>
      <c r="J77" s="90"/>
      <c r="K77" s="90">
        <v>0</v>
      </c>
      <c r="L77" s="90">
        <v>0</v>
      </c>
      <c r="M77" s="90"/>
      <c r="N77" s="90">
        <v>0</v>
      </c>
      <c r="O77" s="90">
        <v>0</v>
      </c>
      <c r="P77" s="90"/>
      <c r="Q77" s="90">
        <v>0</v>
      </c>
      <c r="R77" s="90" t="s">
        <v>442</v>
      </c>
      <c r="S77" s="90"/>
    </row>
    <row r="78" spans="1:19" x14ac:dyDescent="0.25">
      <c r="A78" s="45" t="s">
        <v>390</v>
      </c>
      <c r="B78" t="s">
        <v>416</v>
      </c>
      <c r="C78" s="90">
        <v>0</v>
      </c>
      <c r="D78" s="90"/>
      <c r="E78" s="90">
        <v>0</v>
      </c>
      <c r="F78" s="90">
        <v>0</v>
      </c>
      <c r="G78" s="90"/>
      <c r="H78" s="90">
        <v>0</v>
      </c>
      <c r="I78" s="90">
        <v>0</v>
      </c>
      <c r="J78" s="90"/>
      <c r="K78" s="90">
        <v>0</v>
      </c>
      <c r="L78" s="90">
        <v>0</v>
      </c>
      <c r="M78" s="90"/>
      <c r="N78" s="90">
        <v>0</v>
      </c>
      <c r="O78" s="90">
        <v>0</v>
      </c>
      <c r="P78" s="90"/>
      <c r="Q78" s="90">
        <v>0</v>
      </c>
      <c r="R78" s="90" t="s">
        <v>442</v>
      </c>
      <c r="S78" s="90"/>
    </row>
    <row r="79" spans="1:19" x14ac:dyDescent="0.25">
      <c r="A79" s="45" t="s">
        <v>392</v>
      </c>
      <c r="B79" t="s">
        <v>416</v>
      </c>
      <c r="C79" s="90">
        <v>0</v>
      </c>
      <c r="D79" s="90"/>
      <c r="E79" s="90">
        <v>0</v>
      </c>
      <c r="F79" s="90">
        <v>0</v>
      </c>
      <c r="G79" s="90"/>
      <c r="H79" s="90">
        <v>0</v>
      </c>
      <c r="I79" s="90">
        <v>0</v>
      </c>
      <c r="J79" s="90"/>
      <c r="K79" s="90">
        <v>0</v>
      </c>
      <c r="L79" s="90">
        <v>0</v>
      </c>
      <c r="M79" s="90"/>
      <c r="N79" s="90">
        <v>0</v>
      </c>
      <c r="O79" s="90">
        <v>0</v>
      </c>
      <c r="P79" s="90"/>
      <c r="Q79" s="90">
        <v>0</v>
      </c>
      <c r="R79" s="90" t="s">
        <v>442</v>
      </c>
      <c r="S79" s="90"/>
    </row>
    <row r="80" spans="1:19" x14ac:dyDescent="0.25">
      <c r="A80" s="45" t="s">
        <v>393</v>
      </c>
      <c r="B80" t="s">
        <v>416</v>
      </c>
      <c r="C80" s="90">
        <v>0</v>
      </c>
      <c r="D80" s="90"/>
      <c r="E80" s="90">
        <v>0</v>
      </c>
      <c r="F80" s="90">
        <v>0</v>
      </c>
      <c r="G80" s="90"/>
      <c r="H80" s="90">
        <v>0</v>
      </c>
      <c r="I80" s="90">
        <v>0</v>
      </c>
      <c r="J80" s="90"/>
      <c r="K80" s="90">
        <v>0</v>
      </c>
      <c r="L80" s="90">
        <v>0</v>
      </c>
      <c r="M80" s="90"/>
      <c r="N80" s="90">
        <v>0</v>
      </c>
      <c r="O80" s="90">
        <v>0</v>
      </c>
      <c r="P80" s="90"/>
      <c r="Q80" s="90">
        <v>0</v>
      </c>
      <c r="R80" s="90" t="s">
        <v>442</v>
      </c>
      <c r="S80" s="90"/>
    </row>
    <row r="81" spans="1:19" x14ac:dyDescent="0.25">
      <c r="A81" s="45" t="s">
        <v>394</v>
      </c>
      <c r="B81" t="s">
        <v>416</v>
      </c>
      <c r="C81" s="90">
        <v>0</v>
      </c>
      <c r="D81" s="90"/>
      <c r="E81" s="90">
        <v>0</v>
      </c>
      <c r="F81" s="90">
        <v>0</v>
      </c>
      <c r="G81" s="90"/>
      <c r="H81" s="90">
        <v>0</v>
      </c>
      <c r="I81" s="90">
        <v>0</v>
      </c>
      <c r="J81" s="90"/>
      <c r="K81" s="90">
        <v>0</v>
      </c>
      <c r="L81" s="90">
        <v>0</v>
      </c>
      <c r="M81" s="90"/>
      <c r="N81" s="90">
        <v>0</v>
      </c>
      <c r="O81" s="90">
        <v>0</v>
      </c>
      <c r="P81" s="90"/>
      <c r="Q81" s="90">
        <v>0</v>
      </c>
      <c r="R81" s="90" t="s">
        <v>442</v>
      </c>
      <c r="S81" s="90"/>
    </row>
    <row r="82" spans="1:19" x14ac:dyDescent="0.25">
      <c r="A82" s="45" t="s">
        <v>389</v>
      </c>
      <c r="B82" t="s">
        <v>416</v>
      </c>
      <c r="C82">
        <v>0</v>
      </c>
      <c r="E82">
        <v>0</v>
      </c>
      <c r="F82">
        <v>0</v>
      </c>
      <c r="H82">
        <v>0</v>
      </c>
      <c r="I82">
        <v>0</v>
      </c>
      <c r="K82">
        <v>0</v>
      </c>
      <c r="L82">
        <v>0</v>
      </c>
      <c r="N82">
        <v>0</v>
      </c>
      <c r="O82">
        <v>0</v>
      </c>
      <c r="P82" s="90"/>
      <c r="Q82" s="90">
        <v>0</v>
      </c>
      <c r="R82" s="90" t="s">
        <v>442</v>
      </c>
      <c r="S82" s="90"/>
    </row>
    <row r="83" spans="1:19" x14ac:dyDescent="0.25">
      <c r="A83" s="45" t="s">
        <v>390</v>
      </c>
      <c r="B83" t="s">
        <v>415</v>
      </c>
      <c r="C83" s="90">
        <v>69.054770067714301</v>
      </c>
      <c r="D83" s="90"/>
      <c r="E83" s="90">
        <v>65.766447683537436</v>
      </c>
      <c r="F83" s="90">
        <v>21.490486918675053</v>
      </c>
      <c r="G83" s="90"/>
      <c r="H83" s="90">
        <v>20.467130398738146</v>
      </c>
      <c r="I83" s="90">
        <v>9.3576941894543264</v>
      </c>
      <c r="J83" s="90"/>
      <c r="K83" s="90">
        <v>8.9120897042422165</v>
      </c>
      <c r="L83" s="90">
        <v>18.091542099611701</v>
      </c>
      <c r="M83" s="90"/>
      <c r="N83" s="90">
        <v>17.230040094868286</v>
      </c>
      <c r="O83" s="90">
        <v>18.091542099611701</v>
      </c>
      <c r="P83" s="90"/>
      <c r="Q83" s="90">
        <v>17.230040094868286</v>
      </c>
      <c r="R83" s="90"/>
      <c r="S83" s="90"/>
    </row>
    <row r="84" spans="1:19" x14ac:dyDescent="0.25">
      <c r="A84" s="45" t="s">
        <v>392</v>
      </c>
      <c r="B84" t="s">
        <v>415</v>
      </c>
      <c r="C84" s="90">
        <v>66.719743392102458</v>
      </c>
      <c r="D84" s="90"/>
      <c r="E84" s="90">
        <v>63.542612754383292</v>
      </c>
      <c r="F84" s="90">
        <v>31.652884124101945</v>
      </c>
      <c r="G84" s="90"/>
      <c r="H84" s="90">
        <v>30.145603927716138</v>
      </c>
      <c r="I84" s="90">
        <v>7.0660763347873754</v>
      </c>
      <c r="J84" s="90"/>
      <c r="K84" s="90">
        <v>6.7295965093213095</v>
      </c>
      <c r="L84" s="90">
        <v>28.460585237338051</v>
      </c>
      <c r="M84" s="90"/>
      <c r="N84" s="90">
        <v>27.105319273655287</v>
      </c>
      <c r="O84" s="90">
        <v>13.661080913922255</v>
      </c>
      <c r="P84" s="90"/>
      <c r="Q84" s="90">
        <v>13.01055325135453</v>
      </c>
      <c r="R84" s="90"/>
      <c r="S84" s="90"/>
    </row>
    <row r="85" spans="1:19" x14ac:dyDescent="0.25">
      <c r="A85" s="45" t="s">
        <v>393</v>
      </c>
      <c r="B85" t="s">
        <v>415</v>
      </c>
      <c r="C85" s="90">
        <v>149.06978921769371</v>
      </c>
      <c r="D85" s="90"/>
      <c r="E85" s="90">
        <v>141.97122782637496</v>
      </c>
      <c r="F85" s="90">
        <v>140.54806347192221</v>
      </c>
      <c r="G85" s="90"/>
      <c r="H85" s="90">
        <v>133.8552985446878</v>
      </c>
      <c r="I85" s="90">
        <v>40.196272107185692</v>
      </c>
      <c r="J85" s="90"/>
      <c r="K85" s="90">
        <v>38.282163911605423</v>
      </c>
      <c r="L85" s="90">
        <v>77.712792740559024</v>
      </c>
      <c r="M85" s="90"/>
      <c r="N85" s="90">
        <v>74.012183562437158</v>
      </c>
      <c r="O85" s="90">
        <v>77.712792740559024</v>
      </c>
      <c r="P85" s="90"/>
      <c r="Q85" s="90">
        <v>74.012183562437158</v>
      </c>
      <c r="R85" s="90"/>
      <c r="S85" s="90"/>
    </row>
    <row r="86" spans="1:19" x14ac:dyDescent="0.25">
      <c r="A86" s="45" t="s">
        <v>394</v>
      </c>
      <c r="B86" t="s">
        <v>415</v>
      </c>
      <c r="C86" s="90">
        <v>286.54519250706056</v>
      </c>
      <c r="D86" s="90"/>
      <c r="E86" s="90">
        <v>272.90018334005765</v>
      </c>
      <c r="F86" s="90">
        <v>162.97679561597346</v>
      </c>
      <c r="G86" s="90"/>
      <c r="H86" s="90">
        <v>155.21599582473661</v>
      </c>
      <c r="I86" s="90">
        <v>73.668015212996607</v>
      </c>
      <c r="J86" s="90"/>
      <c r="K86" s="90">
        <v>70.160014488568194</v>
      </c>
      <c r="L86" s="90">
        <v>142.42482941179344</v>
      </c>
      <c r="M86" s="90"/>
      <c r="N86" s="90">
        <v>135.6426946778985</v>
      </c>
      <c r="O86" s="90">
        <v>142.42482941179344</v>
      </c>
      <c r="P86" s="90"/>
      <c r="Q86" s="90">
        <v>135.6426946778985</v>
      </c>
      <c r="R86" s="90"/>
      <c r="S86" s="90"/>
    </row>
    <row r="87" spans="1:19" x14ac:dyDescent="0.25">
      <c r="A87" s="45" t="s">
        <v>387</v>
      </c>
      <c r="B87" t="s">
        <v>415</v>
      </c>
      <c r="C87" s="90">
        <v>250.11121222684818</v>
      </c>
      <c r="D87" s="90"/>
      <c r="E87" s="90">
        <v>8337.0404075616061</v>
      </c>
      <c r="F87" s="90">
        <v>179.98082291359893</v>
      </c>
      <c r="G87" s="90"/>
      <c r="H87" s="90">
        <v>5999.3607637866298</v>
      </c>
      <c r="I87" s="90">
        <v>179.1077734616816</v>
      </c>
      <c r="J87" s="90"/>
      <c r="K87" s="90">
        <v>5970.2591153893864</v>
      </c>
      <c r="L87" s="90">
        <v>179.1077734616816</v>
      </c>
      <c r="M87" s="90"/>
      <c r="N87" s="90">
        <v>5970.2591153893864</v>
      </c>
      <c r="O87" s="90">
        <v>179.1077734616816</v>
      </c>
      <c r="P87" s="90"/>
      <c r="Q87" s="90">
        <v>5970.2591153893864</v>
      </c>
      <c r="R87" s="90"/>
      <c r="S87" s="90"/>
    </row>
    <row r="88" spans="1:19" x14ac:dyDescent="0.25">
      <c r="A88" s="45" t="s">
        <v>389</v>
      </c>
      <c r="B88" t="s">
        <v>415</v>
      </c>
      <c r="C88" s="90">
        <v>62.683534180085466</v>
      </c>
      <c r="D88" s="90"/>
      <c r="E88" s="90">
        <v>2089.4511393361822</v>
      </c>
      <c r="F88" s="90">
        <v>51.191191841278254</v>
      </c>
      <c r="G88" s="90"/>
      <c r="H88" s="90">
        <v>1706.3730613759415</v>
      </c>
      <c r="I88" s="90">
        <v>26.117102848732088</v>
      </c>
      <c r="J88" s="90"/>
      <c r="K88" s="90">
        <v>870.57009495773616</v>
      </c>
      <c r="L88" s="90">
        <v>50.493065507548714</v>
      </c>
      <c r="M88" s="90"/>
      <c r="N88" s="90">
        <v>1683.1021835849569</v>
      </c>
      <c r="O88" s="90">
        <v>50.493065507548714</v>
      </c>
      <c r="P88" s="90"/>
      <c r="Q88" s="90">
        <v>1683.1021835849569</v>
      </c>
      <c r="R88" s="90"/>
      <c r="S88" s="90"/>
    </row>
    <row r="89" spans="1:19" x14ac:dyDescent="0.25">
      <c r="A89" s="45" t="s">
        <v>381</v>
      </c>
      <c r="B89" t="s">
        <v>413</v>
      </c>
      <c r="C89" s="90">
        <v>36.327152207180646</v>
      </c>
      <c r="D89" s="90">
        <v>12.109050735726882</v>
      </c>
      <c r="E89" s="90"/>
      <c r="F89" s="90">
        <v>0</v>
      </c>
      <c r="G89" s="90">
        <v>0</v>
      </c>
      <c r="H89" s="90"/>
      <c r="I89" s="90">
        <v>0</v>
      </c>
      <c r="J89" s="90">
        <v>0</v>
      </c>
      <c r="K89" s="90"/>
      <c r="L89" s="90">
        <v>0</v>
      </c>
      <c r="M89" s="90">
        <v>0</v>
      </c>
      <c r="N89" s="90"/>
      <c r="O89" s="90">
        <v>0</v>
      </c>
      <c r="P89" s="90">
        <v>0</v>
      </c>
      <c r="Q89" s="90"/>
      <c r="R89" s="90"/>
      <c r="S89" s="90"/>
    </row>
    <row r="90" spans="1:19" x14ac:dyDescent="0.25">
      <c r="A90" s="45" t="s">
        <v>383</v>
      </c>
      <c r="B90" t="s">
        <v>413</v>
      </c>
      <c r="C90" s="90">
        <v>77.450552093200699</v>
      </c>
      <c r="D90" s="90">
        <v>25.816850697733571</v>
      </c>
      <c r="E90" s="90"/>
      <c r="F90">
        <v>0</v>
      </c>
      <c r="G90">
        <v>0</v>
      </c>
      <c r="I90">
        <v>0</v>
      </c>
      <c r="J90">
        <v>0</v>
      </c>
      <c r="L90">
        <v>0</v>
      </c>
      <c r="M90">
        <v>0</v>
      </c>
      <c r="O90">
        <v>0</v>
      </c>
      <c r="P90" s="90">
        <v>0</v>
      </c>
      <c r="Q90" s="90"/>
      <c r="R90" s="90"/>
      <c r="S90" s="90"/>
    </row>
    <row r="91" spans="1:19" x14ac:dyDescent="0.25">
      <c r="A91" t="s">
        <v>396</v>
      </c>
      <c r="B91" t="s">
        <v>414</v>
      </c>
      <c r="C91" s="36">
        <v>1328.2961742733792</v>
      </c>
      <c r="D91" s="36">
        <v>168.47998151615667</v>
      </c>
      <c r="E91" s="36"/>
      <c r="F91" s="36">
        <v>336.36313787764209</v>
      </c>
      <c r="G91" s="36">
        <v>42.664020532425425</v>
      </c>
      <c r="H91" s="36"/>
      <c r="I91" s="36">
        <v>336.36313787764209</v>
      </c>
      <c r="J91" s="36">
        <v>42.664020532425425</v>
      </c>
      <c r="K91" s="36"/>
      <c r="L91" s="36">
        <v>35.547499049559178</v>
      </c>
      <c r="M91" s="36">
        <v>4.5088152016183631</v>
      </c>
      <c r="N91" s="36"/>
      <c r="O91" s="36">
        <v>336.36313787764209</v>
      </c>
      <c r="P91" s="36">
        <v>42.664020532425425</v>
      </c>
      <c r="Q91" s="90"/>
      <c r="R91" s="90"/>
      <c r="S91" s="90"/>
    </row>
    <row r="92" spans="1:19" x14ac:dyDescent="0.25">
      <c r="A92" t="s">
        <v>396</v>
      </c>
      <c r="B92" t="s">
        <v>412</v>
      </c>
      <c r="C92" s="94">
        <v>204.72020665001969</v>
      </c>
      <c r="D92" s="36">
        <v>25.966540670981693</v>
      </c>
      <c r="E92" s="94"/>
      <c r="F92" s="94">
        <v>161.24926222460425</v>
      </c>
      <c r="G92" s="36">
        <v>20.452722250710838</v>
      </c>
      <c r="H92" s="94"/>
      <c r="I92" s="94">
        <v>161.24926222460425</v>
      </c>
      <c r="J92" s="36">
        <v>20.452722250710838</v>
      </c>
      <c r="K92" s="94"/>
      <c r="L92" s="94">
        <v>0</v>
      </c>
      <c r="M92" s="36">
        <v>0</v>
      </c>
      <c r="N92" s="94"/>
      <c r="O92" s="94">
        <v>161.24926222460425</v>
      </c>
      <c r="P92" s="36">
        <v>20.452722250710838</v>
      </c>
      <c r="Q92" s="90"/>
      <c r="R92" s="90"/>
      <c r="S92" s="90"/>
    </row>
    <row r="93" spans="1:19" x14ac:dyDescent="0.25">
      <c r="A93" s="45" t="s">
        <v>384</v>
      </c>
      <c r="B93" s="95" t="s">
        <v>411</v>
      </c>
      <c r="C93">
        <v>0</v>
      </c>
      <c r="D93">
        <v>0</v>
      </c>
      <c r="F93">
        <v>0</v>
      </c>
      <c r="G93">
        <v>0</v>
      </c>
      <c r="I93">
        <v>0</v>
      </c>
      <c r="J93">
        <v>0</v>
      </c>
      <c r="L93">
        <v>0</v>
      </c>
      <c r="M93">
        <v>0</v>
      </c>
      <c r="O93">
        <v>0</v>
      </c>
      <c r="P93" s="90">
        <v>0</v>
      </c>
      <c r="Q93" s="90"/>
      <c r="R93" s="90"/>
      <c r="S93" s="90"/>
    </row>
    <row r="94" spans="1:19" x14ac:dyDescent="0.25">
      <c r="A94" s="45" t="s">
        <v>386</v>
      </c>
      <c r="B94" s="95" t="s">
        <v>411</v>
      </c>
      <c r="C94" s="90">
        <v>30.142726578230064</v>
      </c>
      <c r="D94" s="90">
        <v>30.142726578230064</v>
      </c>
      <c r="E94" s="90"/>
      <c r="F94" s="90">
        <v>23.14530790828378</v>
      </c>
      <c r="G94" s="90">
        <v>23.14530790828378</v>
      </c>
      <c r="H94" s="90"/>
      <c r="I94" s="90">
        <v>90.714465893600391</v>
      </c>
      <c r="J94" s="90">
        <v>90.714465893600391</v>
      </c>
      <c r="K94" s="90"/>
      <c r="L94" s="90">
        <v>17.547372972326791</v>
      </c>
      <c r="M94" s="90">
        <v>17.547372972326791</v>
      </c>
      <c r="N94" s="90"/>
      <c r="O94" s="90">
        <v>23.14530790828378</v>
      </c>
      <c r="P94" s="90">
        <v>23.14530790828378</v>
      </c>
      <c r="Q94" s="90"/>
      <c r="R94" s="90"/>
      <c r="S94" s="90"/>
    </row>
    <row r="95" spans="1:19" x14ac:dyDescent="0.25">
      <c r="A95" s="45" t="s">
        <v>386</v>
      </c>
      <c r="B95" s="95" t="s">
        <v>410</v>
      </c>
      <c r="C95" s="90">
        <v>30.142726578230064</v>
      </c>
      <c r="D95" s="90">
        <v>30.142726578230064</v>
      </c>
      <c r="E95" s="90"/>
      <c r="F95" s="90">
        <v>23.14530790828378</v>
      </c>
      <c r="G95" s="90">
        <v>23.14530790828378</v>
      </c>
      <c r="H95" s="90"/>
      <c r="I95" s="90">
        <v>90.714465893600391</v>
      </c>
      <c r="J95" s="90">
        <v>90.714465893600391</v>
      </c>
      <c r="K95" s="90"/>
      <c r="L95" s="90">
        <v>17.547372972326791</v>
      </c>
      <c r="M95" s="90">
        <v>17.547372972326791</v>
      </c>
      <c r="N95" s="90"/>
      <c r="O95" s="90">
        <v>23.14530790828378</v>
      </c>
      <c r="P95" s="90">
        <v>23.14530790828378</v>
      </c>
      <c r="Q95" s="90"/>
      <c r="R95" s="90"/>
      <c r="S95" s="90"/>
    </row>
    <row r="96" spans="1:19" x14ac:dyDescent="0.25">
      <c r="A96" s="45" t="s">
        <v>384</v>
      </c>
      <c r="B96" s="95" t="s">
        <v>410</v>
      </c>
      <c r="C96" s="90">
        <v>0</v>
      </c>
      <c r="D96" s="90">
        <v>0</v>
      </c>
      <c r="E96" s="90"/>
      <c r="F96" s="90">
        <v>0</v>
      </c>
      <c r="G96" s="90">
        <v>0</v>
      </c>
      <c r="H96" s="90"/>
      <c r="I96" s="90">
        <v>0</v>
      </c>
      <c r="J96" s="90">
        <v>0</v>
      </c>
      <c r="K96" s="90"/>
      <c r="L96" s="90">
        <v>0</v>
      </c>
      <c r="M96" s="90">
        <v>0</v>
      </c>
      <c r="N96" s="90"/>
      <c r="O96" s="90">
        <v>0</v>
      </c>
      <c r="P96" s="90">
        <v>0</v>
      </c>
      <c r="Q96" s="90"/>
      <c r="R96" s="90"/>
      <c r="S96" s="90"/>
    </row>
    <row r="97" spans="1:19" x14ac:dyDescent="0.25">
      <c r="A97" s="45" t="s">
        <v>404</v>
      </c>
      <c r="B97" t="s">
        <v>409</v>
      </c>
      <c r="C97" s="90">
        <v>33.779037187500016</v>
      </c>
      <c r="D97" s="90"/>
      <c r="E97" s="90">
        <v>44.74044660596028</v>
      </c>
      <c r="F97" s="90">
        <v>33.779037187500016</v>
      </c>
      <c r="G97" s="90"/>
      <c r="H97" s="90">
        <v>44.74044660596028</v>
      </c>
      <c r="I97" s="90">
        <v>33.779037187500016</v>
      </c>
      <c r="J97" s="90"/>
      <c r="K97" s="90">
        <v>44.74044660596028</v>
      </c>
      <c r="L97" s="90">
        <v>33.779037187500016</v>
      </c>
      <c r="M97" s="90"/>
      <c r="N97" s="90">
        <v>44.74044660596028</v>
      </c>
      <c r="O97" s="90">
        <v>33.779037187500016</v>
      </c>
      <c r="P97" s="90"/>
      <c r="Q97" s="90">
        <v>44.74044660596028</v>
      </c>
      <c r="R97" s="90"/>
      <c r="S97" s="90"/>
    </row>
    <row r="98" spans="1:19" x14ac:dyDescent="0.25">
      <c r="A98" s="45" t="s">
        <v>405</v>
      </c>
      <c r="B98" t="s">
        <v>409</v>
      </c>
      <c r="C98" s="90">
        <v>89.341202502112395</v>
      </c>
      <c r="D98" s="90"/>
      <c r="E98" s="90">
        <v>118.33271854584424</v>
      </c>
      <c r="F98" s="90">
        <v>89.341202502112395</v>
      </c>
      <c r="G98" s="90"/>
      <c r="H98" s="90">
        <v>118.33271854584424</v>
      </c>
      <c r="I98" s="90">
        <v>46.210966811437459</v>
      </c>
      <c r="J98" s="90"/>
      <c r="K98" s="90">
        <v>61.206578558195311</v>
      </c>
      <c r="L98" s="90">
        <v>89.341202502112395</v>
      </c>
      <c r="M98" s="90"/>
      <c r="N98" s="90">
        <v>118.33271854584424</v>
      </c>
      <c r="O98" s="90">
        <v>89.341202502112395</v>
      </c>
      <c r="P98" s="90"/>
      <c r="Q98" s="90">
        <v>118.33271854584424</v>
      </c>
      <c r="R98" s="90"/>
      <c r="S98" s="90"/>
    </row>
    <row r="99" spans="1:19" x14ac:dyDescent="0.25">
      <c r="A99" s="45" t="s">
        <v>404</v>
      </c>
      <c r="B99" t="s">
        <v>408</v>
      </c>
      <c r="C99" s="90">
        <v>0</v>
      </c>
      <c r="D99" s="90">
        <v>0</v>
      </c>
      <c r="E99" s="90"/>
      <c r="F99" s="90">
        <v>0</v>
      </c>
      <c r="G99" s="90">
        <v>0</v>
      </c>
      <c r="H99" s="90"/>
      <c r="I99" s="90">
        <v>0</v>
      </c>
      <c r="J99" s="90">
        <v>0</v>
      </c>
      <c r="K99" s="90"/>
      <c r="L99" s="90">
        <v>0</v>
      </c>
      <c r="M99" s="90">
        <v>0</v>
      </c>
      <c r="N99" s="90"/>
      <c r="O99" s="90">
        <v>0</v>
      </c>
      <c r="P99" s="90">
        <v>0</v>
      </c>
      <c r="Q99" s="90"/>
      <c r="R99" s="90"/>
      <c r="S99" s="90"/>
    </row>
    <row r="100" spans="1:19" x14ac:dyDescent="0.25">
      <c r="A100" s="45" t="s">
        <v>405</v>
      </c>
      <c r="B100" t="s">
        <v>408</v>
      </c>
      <c r="C100" s="90">
        <v>0</v>
      </c>
      <c r="D100" s="90"/>
      <c r="E100" s="90">
        <v>0</v>
      </c>
      <c r="F100" s="90">
        <v>0</v>
      </c>
      <c r="G100" s="90"/>
      <c r="H100" s="90">
        <v>0</v>
      </c>
      <c r="I100" s="90">
        <v>0</v>
      </c>
      <c r="J100" s="90"/>
      <c r="K100" s="90">
        <v>0</v>
      </c>
      <c r="L100" s="90">
        <v>0</v>
      </c>
      <c r="M100" s="90"/>
      <c r="N100" s="90">
        <v>0</v>
      </c>
      <c r="O100" s="90">
        <v>0</v>
      </c>
      <c r="P100" s="90"/>
      <c r="Q100" s="90">
        <v>0</v>
      </c>
      <c r="R100" s="90"/>
      <c r="S100" s="90"/>
    </row>
    <row r="101" spans="1:19" x14ac:dyDescent="0.25">
      <c r="A101" s="45" t="s">
        <v>401</v>
      </c>
      <c r="B101" t="s">
        <v>402</v>
      </c>
      <c r="C101" s="90">
        <v>5.0344843464000011</v>
      </c>
      <c r="D101" s="90"/>
      <c r="E101" s="90">
        <v>77.453605329230797</v>
      </c>
      <c r="F101" s="90">
        <v>5.0344843464000011</v>
      </c>
      <c r="G101" s="90"/>
      <c r="H101" s="90">
        <v>77.453605329230797</v>
      </c>
      <c r="I101" s="90">
        <v>5.0344843464000011</v>
      </c>
      <c r="J101" s="90"/>
      <c r="K101" s="90"/>
      <c r="L101" s="90">
        <v>5.0344843464000011</v>
      </c>
      <c r="M101" s="90"/>
      <c r="N101" s="90">
        <v>77.453605329230797</v>
      </c>
      <c r="O101" s="90">
        <v>5.0344843464000011</v>
      </c>
      <c r="P101" s="90"/>
      <c r="Q101" s="90">
        <v>77.453605329230797</v>
      </c>
      <c r="R101" s="90"/>
      <c r="S101" s="90"/>
    </row>
    <row r="102" spans="1:19" x14ac:dyDescent="0.25">
      <c r="A102" s="45" t="s">
        <v>403</v>
      </c>
      <c r="B102" t="s">
        <v>402</v>
      </c>
      <c r="C102" s="90">
        <v>14.311085352000003</v>
      </c>
      <c r="D102" s="90"/>
      <c r="E102" s="90">
        <v>220.17054387692315</v>
      </c>
      <c r="F102" s="90">
        <v>14.311085352000003</v>
      </c>
      <c r="G102" s="90"/>
      <c r="H102" s="90">
        <v>220.17054387692315</v>
      </c>
      <c r="I102" s="90">
        <v>7.4022855268965539</v>
      </c>
      <c r="J102" s="90"/>
      <c r="K102" s="90">
        <v>113.88131579840854</v>
      </c>
      <c r="L102" s="90">
        <v>14.311085352000003</v>
      </c>
      <c r="M102" s="90"/>
      <c r="N102" s="90">
        <v>220.17054387692315</v>
      </c>
      <c r="O102" s="90">
        <v>14.311085352000003</v>
      </c>
      <c r="P102" s="90"/>
      <c r="Q102" s="90">
        <v>220.17054387692315</v>
      </c>
      <c r="R102" s="90"/>
      <c r="S102" s="90"/>
    </row>
    <row r="103" spans="1:19" x14ac:dyDescent="0.25">
      <c r="A103" s="45" t="s">
        <v>404</v>
      </c>
      <c r="B103" t="s">
        <v>402</v>
      </c>
      <c r="C103" s="90">
        <v>236.45326031250002</v>
      </c>
      <c r="D103" s="90"/>
      <c r="E103" s="90">
        <v>3637.7424663461547</v>
      </c>
      <c r="F103" s="90">
        <v>236.45326031250002</v>
      </c>
      <c r="G103" s="90"/>
      <c r="H103" s="90">
        <v>3637.7424663461547</v>
      </c>
      <c r="I103" s="90">
        <v>236.45326031250002</v>
      </c>
      <c r="J103" s="90"/>
      <c r="K103" s="90">
        <v>3637.7424663461547</v>
      </c>
      <c r="L103" s="90">
        <v>236.45326031250002</v>
      </c>
      <c r="M103" s="90"/>
      <c r="N103" s="90">
        <v>3637.7424663461547</v>
      </c>
      <c r="O103" s="90">
        <v>236.45326031250002</v>
      </c>
      <c r="P103" s="90"/>
      <c r="Q103" s="90">
        <v>3637.7424663461547</v>
      </c>
      <c r="R103" s="90"/>
      <c r="S103" s="90"/>
    </row>
    <row r="104" spans="1:19" x14ac:dyDescent="0.25">
      <c r="A104" s="45" t="s">
        <v>405</v>
      </c>
      <c r="B104" t="s">
        <v>402</v>
      </c>
      <c r="C104" s="90">
        <v>156.34710437869671</v>
      </c>
      <c r="D104" s="90"/>
      <c r="E104" s="90">
        <v>2405.3400673645647</v>
      </c>
      <c r="F104" s="90">
        <v>156.34710437869671</v>
      </c>
      <c r="G104" s="90"/>
      <c r="H104" s="90">
        <v>2405.3400673645647</v>
      </c>
      <c r="I104" s="90">
        <v>80.869191920015524</v>
      </c>
      <c r="J104" s="90"/>
      <c r="K104" s="90">
        <v>1244.1414141540852</v>
      </c>
      <c r="L104" s="90">
        <v>156.34710437869671</v>
      </c>
      <c r="M104" s="90"/>
      <c r="N104" s="90">
        <v>2405.3400673645647</v>
      </c>
      <c r="O104" s="90">
        <v>156.34710437869671</v>
      </c>
      <c r="P104" s="90"/>
      <c r="Q104" s="90">
        <v>2405.3400673645647</v>
      </c>
      <c r="R104" s="90"/>
      <c r="S104" s="90"/>
    </row>
    <row r="105" spans="1:19" x14ac:dyDescent="0.25">
      <c r="A105" s="45" t="s">
        <v>406</v>
      </c>
      <c r="B105" t="s">
        <v>402</v>
      </c>
      <c r="C105" s="90">
        <v>15.268568412733332</v>
      </c>
      <c r="D105" s="90"/>
      <c r="E105" s="90">
        <v>234.90105250358974</v>
      </c>
      <c r="F105" s="90">
        <v>15.268568412733332</v>
      </c>
      <c r="G105" s="90"/>
      <c r="H105" s="90">
        <v>234.90105250358974</v>
      </c>
      <c r="I105" s="90">
        <v>15.268568412733332</v>
      </c>
      <c r="J105" s="90"/>
      <c r="K105" s="90">
        <v>234.90105250358974</v>
      </c>
      <c r="L105" s="90">
        <v>15.268568412733332</v>
      </c>
      <c r="M105" s="90"/>
      <c r="N105" s="90">
        <v>234.90105250358974</v>
      </c>
      <c r="O105" s="90">
        <v>15.268568412733332</v>
      </c>
      <c r="P105" s="90"/>
      <c r="Q105" s="90">
        <v>234.90105250358974</v>
      </c>
      <c r="R105" s="90"/>
      <c r="S105" s="90"/>
    </row>
    <row r="106" spans="1:19" x14ac:dyDescent="0.25">
      <c r="A106" s="45" t="s">
        <v>407</v>
      </c>
      <c r="B106" t="s">
        <v>402</v>
      </c>
      <c r="C106" s="90">
        <v>4.8778830239999991</v>
      </c>
      <c r="D106" s="90"/>
      <c r="E106" s="90">
        <v>75.044354215384615</v>
      </c>
      <c r="F106" s="90">
        <v>4.8778830239999991</v>
      </c>
      <c r="G106" s="90"/>
      <c r="H106" s="90">
        <v>75.044354215384615</v>
      </c>
      <c r="I106" s="90">
        <v>2.5230429434482757</v>
      </c>
      <c r="J106" s="90"/>
      <c r="K106" s="90">
        <v>38.816045283819633</v>
      </c>
      <c r="L106" s="90">
        <v>4.8778830239999991</v>
      </c>
      <c r="M106" s="90"/>
      <c r="N106" s="90">
        <v>75.044354215384615</v>
      </c>
      <c r="O106" s="90">
        <v>4.8778830239999991</v>
      </c>
      <c r="P106" s="90"/>
      <c r="Q106" s="90">
        <v>75.044354215384615</v>
      </c>
      <c r="R106" s="90"/>
      <c r="S106" s="90"/>
    </row>
    <row r="107" spans="1:19" x14ac:dyDescent="0.25">
      <c r="A107" t="s">
        <v>396</v>
      </c>
      <c r="B107" t="s">
        <v>400</v>
      </c>
      <c r="C107" s="36">
        <v>0</v>
      </c>
      <c r="D107" s="36">
        <v>0</v>
      </c>
      <c r="E107" s="36"/>
      <c r="F107" s="36">
        <v>0</v>
      </c>
      <c r="G107" s="36">
        <v>0</v>
      </c>
      <c r="H107" s="36"/>
      <c r="I107" s="36">
        <v>0</v>
      </c>
      <c r="J107" s="36">
        <v>0</v>
      </c>
      <c r="K107" s="36"/>
      <c r="L107" s="36">
        <v>0</v>
      </c>
      <c r="M107" s="36">
        <v>0</v>
      </c>
      <c r="N107" s="36"/>
      <c r="O107" s="36">
        <v>0</v>
      </c>
      <c r="P107" s="90">
        <v>0</v>
      </c>
      <c r="Q107" s="90"/>
      <c r="R107" s="90" t="s">
        <v>442</v>
      </c>
      <c r="S107" s="90"/>
    </row>
    <row r="108" spans="1:19" x14ac:dyDescent="0.25">
      <c r="A108" t="s">
        <v>396</v>
      </c>
      <c r="B108" t="s">
        <v>399</v>
      </c>
      <c r="C108" s="90">
        <v>1127.9494890725509</v>
      </c>
      <c r="D108" s="36">
        <v>143.06817466673655</v>
      </c>
      <c r="E108" s="90"/>
      <c r="F108" s="90">
        <v>2312.9106535499418</v>
      </c>
      <c r="G108" s="36">
        <v>293.36766280440662</v>
      </c>
      <c r="H108" s="90"/>
      <c r="I108" s="90">
        <v>2312.9106535499418</v>
      </c>
      <c r="J108" s="36">
        <v>293.36766280440662</v>
      </c>
      <c r="K108" s="90"/>
      <c r="L108" s="90">
        <v>2727.5869463027107</v>
      </c>
      <c r="M108" s="36">
        <v>345.96485873956249</v>
      </c>
      <c r="N108" s="90"/>
      <c r="O108" s="90">
        <v>2312.9106535499418</v>
      </c>
      <c r="P108" s="36">
        <v>293.36766280440662</v>
      </c>
      <c r="Q108" s="90"/>
      <c r="R108" s="90" t="s">
        <v>442</v>
      </c>
      <c r="S108" s="90"/>
    </row>
    <row r="109" spans="1:19" x14ac:dyDescent="0.25">
      <c r="A109" s="45" t="s">
        <v>390</v>
      </c>
      <c r="B109" t="s">
        <v>399</v>
      </c>
      <c r="C109" s="90">
        <v>104.18789869865671</v>
      </c>
      <c r="D109" s="90"/>
      <c r="E109" s="90">
        <v>99.226570189196877</v>
      </c>
      <c r="F109" s="90">
        <v>288.19318595985703</v>
      </c>
      <c r="G109" s="90"/>
      <c r="H109" s="90">
        <v>274.46970091414954</v>
      </c>
      <c r="I109" s="90">
        <v>125.48918560581185</v>
      </c>
      <c r="J109" s="90"/>
      <c r="K109" s="90">
        <v>119.51351010077319</v>
      </c>
      <c r="L109" s="90">
        <v>260.46167016534719</v>
      </c>
      <c r="M109" s="90"/>
      <c r="N109" s="90">
        <v>248.05873349080684</v>
      </c>
      <c r="O109" s="90">
        <v>242.61242550456956</v>
      </c>
      <c r="P109" s="90"/>
      <c r="Q109" s="90">
        <v>231.05945286149483</v>
      </c>
      <c r="R109" s="90" t="s">
        <v>442</v>
      </c>
      <c r="S109" s="90"/>
    </row>
    <row r="110" spans="1:19" x14ac:dyDescent="0.25">
      <c r="A110" s="45" t="s">
        <v>392</v>
      </c>
      <c r="B110" t="s">
        <v>399</v>
      </c>
      <c r="C110" s="90">
        <v>51.229053427208427</v>
      </c>
      <c r="D110" s="90"/>
      <c r="E110" s="90">
        <v>48.78957469257945</v>
      </c>
      <c r="F110" s="90">
        <v>279.11061036574182</v>
      </c>
      <c r="G110" s="90"/>
      <c r="H110" s="90">
        <v>265.81962891975411</v>
      </c>
      <c r="I110" s="90">
        <v>62.307651680678667</v>
      </c>
      <c r="J110" s="90"/>
      <c r="K110" s="90">
        <v>59.3406206482654</v>
      </c>
      <c r="L110" s="90">
        <v>170.35693163492334</v>
      </c>
      <c r="M110" s="90"/>
      <c r="N110" s="90">
        <v>162.24469679516508</v>
      </c>
      <c r="O110" s="90">
        <v>120.46145991597875</v>
      </c>
      <c r="P110" s="90"/>
      <c r="Q110" s="90">
        <v>114.72519991997977</v>
      </c>
      <c r="R110" s="90" t="s">
        <v>442</v>
      </c>
      <c r="S110" s="90"/>
    </row>
    <row r="111" spans="1:19" x14ac:dyDescent="0.25">
      <c r="A111" s="45" t="s">
        <v>393</v>
      </c>
      <c r="B111" t="s">
        <v>399</v>
      </c>
      <c r="C111" s="90">
        <v>29.142297277709613</v>
      </c>
      <c r="D111" s="90"/>
      <c r="E111" s="90">
        <v>27.754568835913918</v>
      </c>
      <c r="F111" s="90">
        <v>259.41156857960493</v>
      </c>
      <c r="G111" s="90"/>
      <c r="H111" s="90">
        <v>247.05863674248087</v>
      </c>
      <c r="I111" s="90">
        <v>74.190833660691297</v>
      </c>
      <c r="J111" s="90"/>
      <c r="K111" s="90">
        <v>70.657936819705995</v>
      </c>
      <c r="L111" s="90">
        <v>192.50568944589909</v>
      </c>
      <c r="M111" s="90"/>
      <c r="N111" s="90">
        <v>183.33875185323723</v>
      </c>
      <c r="O111" s="90">
        <v>143.43561174400318</v>
      </c>
      <c r="P111" s="90"/>
      <c r="Q111" s="90">
        <v>136.60534451809826</v>
      </c>
      <c r="R111" s="90" t="s">
        <v>442</v>
      </c>
      <c r="S111" s="90"/>
    </row>
    <row r="112" spans="1:19" x14ac:dyDescent="0.25">
      <c r="A112" s="45" t="s">
        <v>394</v>
      </c>
      <c r="B112" t="s">
        <v>399</v>
      </c>
      <c r="C112" s="90">
        <v>406.92808403369582</v>
      </c>
      <c r="D112" s="90"/>
      <c r="E112" s="90">
        <v>387.55055622256748</v>
      </c>
      <c r="F112" s="90">
        <v>987.88514009285484</v>
      </c>
      <c r="G112" s="90"/>
      <c r="H112" s="90">
        <v>940.84299056462373</v>
      </c>
      <c r="I112" s="90">
        <v>446.53925888036639</v>
      </c>
      <c r="J112" s="90"/>
      <c r="K112" s="90">
        <v>425.27548464796797</v>
      </c>
      <c r="L112" s="90">
        <v>894.53531250601668</v>
      </c>
      <c r="M112" s="90"/>
      <c r="N112" s="90">
        <v>851.938392862873</v>
      </c>
      <c r="O112" s="90">
        <v>863.30923383537481</v>
      </c>
      <c r="P112" s="90"/>
      <c r="Q112" s="90">
        <v>822.1992703194046</v>
      </c>
      <c r="R112" s="90" t="s">
        <v>442</v>
      </c>
      <c r="S112" s="90"/>
    </row>
    <row r="113" spans="1:19" x14ac:dyDescent="0.25">
      <c r="A113" s="45" t="s">
        <v>387</v>
      </c>
      <c r="B113" t="s">
        <v>399</v>
      </c>
      <c r="C113" s="90">
        <v>1631.1600797403144</v>
      </c>
      <c r="D113" s="90"/>
      <c r="E113" s="90">
        <v>54372.002658010468</v>
      </c>
      <c r="F113" s="90">
        <v>2688.1421479452533</v>
      </c>
      <c r="G113" s="90"/>
      <c r="H113" s="90">
        <v>89604.73826484177</v>
      </c>
      <c r="I113" s="90">
        <v>2675.1025307741174</v>
      </c>
      <c r="J113" s="90"/>
      <c r="K113" s="90">
        <v>89170.08435913724</v>
      </c>
      <c r="L113" s="90">
        <v>2899.6269182207238</v>
      </c>
      <c r="M113" s="90"/>
      <c r="N113" s="90">
        <v>96654.230607357458</v>
      </c>
      <c r="O113" s="90">
        <v>2675.1025307741174</v>
      </c>
      <c r="P113" s="90"/>
      <c r="Q113" s="90">
        <v>89170.08435913724</v>
      </c>
      <c r="R113" s="90" t="s">
        <v>442</v>
      </c>
      <c r="S113" s="90"/>
    </row>
    <row r="114" spans="1:19" x14ac:dyDescent="0.25">
      <c r="A114" s="45" t="s">
        <v>389</v>
      </c>
      <c r="B114" t="s">
        <v>399</v>
      </c>
      <c r="C114" s="90">
        <v>194.75896695768805</v>
      </c>
      <c r="D114" s="90"/>
      <c r="E114" s="90">
        <v>6491.9655652562678</v>
      </c>
      <c r="F114" s="90">
        <v>244.39223462081659</v>
      </c>
      <c r="G114" s="90"/>
      <c r="H114" s="90">
        <v>8146.4078206938857</v>
      </c>
      <c r="I114" s="90">
        <v>124.68584726086641</v>
      </c>
      <c r="J114" s="90"/>
      <c r="K114" s="90">
        <v>4156.1949086955465</v>
      </c>
      <c r="L114" s="90">
        <v>324.16548055846249</v>
      </c>
      <c r="M114" s="90"/>
      <c r="N114" s="90">
        <v>10805.516018615415</v>
      </c>
      <c r="O114" s="90">
        <v>241.05930470434177</v>
      </c>
      <c r="P114" s="90"/>
      <c r="Q114" s="90">
        <v>8035.3101568113916</v>
      </c>
      <c r="R114" s="90" t="s">
        <v>442</v>
      </c>
      <c r="S114" s="90"/>
    </row>
    <row r="115" spans="1:19" x14ac:dyDescent="0.25">
      <c r="A115" s="45" t="s">
        <v>381</v>
      </c>
      <c r="B115" t="s">
        <v>398</v>
      </c>
      <c r="C115" s="90">
        <v>189.49608084199633</v>
      </c>
      <c r="D115" s="90">
        <v>63.165360280665439</v>
      </c>
      <c r="E115" s="90"/>
      <c r="F115" s="90">
        <v>133.25652068550912</v>
      </c>
      <c r="G115" s="90">
        <v>44.418840228503036</v>
      </c>
      <c r="H115" s="90"/>
      <c r="I115" s="90">
        <v>610.98132021434105</v>
      </c>
      <c r="J115" s="90">
        <v>203.660440071447</v>
      </c>
      <c r="K115" s="90"/>
      <c r="L115" s="90">
        <v>414.98340815970397</v>
      </c>
      <c r="M115" s="90">
        <v>138.32780271990131</v>
      </c>
      <c r="N115" s="90"/>
      <c r="O115" s="90">
        <v>353.7260175717268</v>
      </c>
      <c r="P115" s="90">
        <v>117.90867252390893</v>
      </c>
      <c r="Q115" s="90"/>
      <c r="R115" s="90" t="s">
        <v>442</v>
      </c>
      <c r="S115" s="90"/>
    </row>
    <row r="116" spans="1:19" x14ac:dyDescent="0.25">
      <c r="A116" s="45" t="s">
        <v>383</v>
      </c>
      <c r="B116" t="s">
        <v>398</v>
      </c>
      <c r="C116" s="90">
        <v>404.01119242728157</v>
      </c>
      <c r="D116" s="90">
        <v>134.67039747576052</v>
      </c>
      <c r="E116" s="90"/>
      <c r="F116" s="90">
        <v>208.62919503835988</v>
      </c>
      <c r="G116" s="90">
        <v>69.543065012786627</v>
      </c>
      <c r="H116" s="90"/>
      <c r="I116" s="90">
        <v>896.4936401402</v>
      </c>
      <c r="J116" s="90">
        <v>298.83121338006669</v>
      </c>
      <c r="K116" s="90"/>
      <c r="L116" s="90">
        <v>884.75677609361287</v>
      </c>
      <c r="M116" s="90">
        <v>294.91892536453764</v>
      </c>
      <c r="N116" s="90"/>
      <c r="O116" s="90">
        <v>754.15422586425984</v>
      </c>
      <c r="P116" s="90">
        <v>251.38474195475331</v>
      </c>
      <c r="Q116" s="90"/>
      <c r="R116" s="90" t="s">
        <v>442</v>
      </c>
      <c r="S116" s="90"/>
    </row>
    <row r="117" spans="1:19" x14ac:dyDescent="0.25">
      <c r="A117" s="45" t="s">
        <v>381</v>
      </c>
      <c r="B117" t="s">
        <v>397</v>
      </c>
      <c r="C117" s="90">
        <v>176.11693565669029</v>
      </c>
      <c r="D117" s="90">
        <v>58.70564521889677</v>
      </c>
      <c r="E117" s="90"/>
      <c r="F117" s="90">
        <v>123.84810268964185</v>
      </c>
      <c r="G117" s="90">
        <v>41.282700896547283</v>
      </c>
      <c r="H117" s="90"/>
      <c r="I117" s="90">
        <v>780.39293264816581</v>
      </c>
      <c r="J117" s="90">
        <v>260.1309775493886</v>
      </c>
      <c r="K117" s="90"/>
      <c r="L117" s="90">
        <v>404.1083160839226</v>
      </c>
      <c r="M117" s="90">
        <v>134.70277202797419</v>
      </c>
      <c r="N117" s="90"/>
      <c r="O117" s="90">
        <v>373.07016852556865</v>
      </c>
      <c r="P117" s="90">
        <v>124.35672284185623</v>
      </c>
      <c r="Q117" s="90"/>
      <c r="R117" s="90" t="s">
        <v>442</v>
      </c>
      <c r="S117" s="90"/>
    </row>
    <row r="118" spans="1:19" x14ac:dyDescent="0.25">
      <c r="A118" s="45" t="s">
        <v>383</v>
      </c>
      <c r="B118" t="s">
        <v>397</v>
      </c>
      <c r="C118" s="90">
        <v>375.48646317718061</v>
      </c>
      <c r="D118" s="90">
        <v>125.16215439239353</v>
      </c>
      <c r="E118" s="90"/>
      <c r="F118" s="90">
        <v>193.89917910394524</v>
      </c>
      <c r="G118" s="90">
        <v>64.633059701315076</v>
      </c>
      <c r="H118" s="90"/>
      <c r="I118" s="90">
        <v>1145.0715067426356</v>
      </c>
      <c r="J118" s="90">
        <v>381.69050224754517</v>
      </c>
      <c r="K118" s="90"/>
      <c r="L118" s="90">
        <v>861.57076138676325</v>
      </c>
      <c r="M118" s="90">
        <v>287.19025379558775</v>
      </c>
      <c r="N118" s="90"/>
      <c r="O118" s="90">
        <v>795.39652205650361</v>
      </c>
      <c r="P118" s="90">
        <v>265.13217401883452</v>
      </c>
      <c r="Q118" s="90"/>
      <c r="R118" s="90" t="s">
        <v>442</v>
      </c>
      <c r="S118" s="90"/>
    </row>
    <row r="119" spans="1:19" x14ac:dyDescent="0.25">
      <c r="A119" s="45" t="s">
        <v>381</v>
      </c>
      <c r="B119" t="s">
        <v>395</v>
      </c>
      <c r="C119" s="90">
        <v>0</v>
      </c>
      <c r="D119" s="90">
        <v>0</v>
      </c>
      <c r="E119" s="90"/>
      <c r="F119" s="90">
        <v>0</v>
      </c>
      <c r="G119" s="90">
        <v>0</v>
      </c>
      <c r="H119" s="90"/>
      <c r="I119" s="90">
        <v>0</v>
      </c>
      <c r="J119" s="90">
        <v>0</v>
      </c>
      <c r="K119" s="90"/>
      <c r="L119" s="90">
        <v>0</v>
      </c>
      <c r="M119" s="90">
        <v>0</v>
      </c>
      <c r="N119" s="90"/>
      <c r="O119" s="90">
        <v>0</v>
      </c>
      <c r="P119" s="90">
        <v>0</v>
      </c>
      <c r="Q119" s="90"/>
      <c r="R119" s="90" t="s">
        <v>442</v>
      </c>
      <c r="S119" s="90"/>
    </row>
    <row r="120" spans="1:19" x14ac:dyDescent="0.25">
      <c r="A120" s="45" t="s">
        <v>383</v>
      </c>
      <c r="B120" t="s">
        <v>395</v>
      </c>
      <c r="C120">
        <v>0</v>
      </c>
      <c r="D120">
        <v>0</v>
      </c>
      <c r="F120">
        <v>0</v>
      </c>
      <c r="G120">
        <v>0</v>
      </c>
      <c r="I120">
        <v>0</v>
      </c>
      <c r="J120">
        <v>0</v>
      </c>
      <c r="L120">
        <v>0</v>
      </c>
      <c r="M120">
        <v>0</v>
      </c>
      <c r="O120">
        <v>0</v>
      </c>
      <c r="P120" s="90">
        <v>0</v>
      </c>
      <c r="Q120" s="90"/>
      <c r="R120" s="90" t="s">
        <v>442</v>
      </c>
      <c r="S120" s="90"/>
    </row>
    <row r="121" spans="1:19" x14ac:dyDescent="0.25">
      <c r="A121" t="s">
        <v>396</v>
      </c>
      <c r="B121" t="s">
        <v>395</v>
      </c>
      <c r="C121" s="36">
        <v>0</v>
      </c>
      <c r="D121" s="36">
        <v>0</v>
      </c>
      <c r="E121" s="36"/>
      <c r="F121" s="36">
        <v>7.2451574042359024</v>
      </c>
      <c r="G121" s="36">
        <v>0.91896973671180904</v>
      </c>
      <c r="H121" s="36"/>
      <c r="I121" s="36">
        <v>7.2451574042359024</v>
      </c>
      <c r="J121" s="36">
        <v>0.91896973671180904</v>
      </c>
      <c r="K121" s="36"/>
      <c r="L121" s="36">
        <v>142.18999619823671</v>
      </c>
      <c r="M121" s="36">
        <v>18.035260806473453</v>
      </c>
      <c r="N121" s="36"/>
      <c r="O121" s="36">
        <v>7.2451574042359024</v>
      </c>
      <c r="P121" s="36">
        <v>0.91896973671180904</v>
      </c>
      <c r="Q121" s="90"/>
      <c r="R121" s="90" t="s">
        <v>442</v>
      </c>
      <c r="S121" s="90"/>
    </row>
    <row r="122" spans="1:19" x14ac:dyDescent="0.25">
      <c r="A122" s="45" t="s">
        <v>390</v>
      </c>
      <c r="B122" t="s">
        <v>395</v>
      </c>
      <c r="C122" s="90">
        <v>0</v>
      </c>
      <c r="D122" s="90"/>
      <c r="E122" s="90">
        <v>0</v>
      </c>
      <c r="F122" s="90">
        <v>0</v>
      </c>
      <c r="G122" s="90"/>
      <c r="H122" s="90">
        <v>0</v>
      </c>
      <c r="I122" s="90">
        <v>0</v>
      </c>
      <c r="J122" s="90"/>
      <c r="K122" s="90">
        <v>0</v>
      </c>
      <c r="L122" s="90">
        <v>0</v>
      </c>
      <c r="M122" s="90"/>
      <c r="N122" s="90">
        <v>0</v>
      </c>
      <c r="O122" s="90">
        <v>0</v>
      </c>
      <c r="P122" s="90"/>
      <c r="Q122" s="90">
        <v>0</v>
      </c>
      <c r="R122" s="90" t="s">
        <v>442</v>
      </c>
      <c r="S122" s="90"/>
    </row>
    <row r="123" spans="1:19" x14ac:dyDescent="0.25">
      <c r="A123" s="45" t="s">
        <v>392</v>
      </c>
      <c r="B123" t="s">
        <v>395</v>
      </c>
      <c r="C123" s="90">
        <v>0</v>
      </c>
      <c r="D123" s="90"/>
      <c r="E123" s="90">
        <v>0</v>
      </c>
      <c r="F123" s="90">
        <v>0</v>
      </c>
      <c r="G123" s="90"/>
      <c r="H123" s="90">
        <v>0</v>
      </c>
      <c r="I123" s="90">
        <v>0</v>
      </c>
      <c r="J123" s="90"/>
      <c r="K123" s="90">
        <v>0</v>
      </c>
      <c r="L123" s="90">
        <v>0</v>
      </c>
      <c r="M123" s="90"/>
      <c r="N123" s="90">
        <v>0</v>
      </c>
      <c r="O123" s="90">
        <v>0</v>
      </c>
      <c r="P123" s="90"/>
      <c r="Q123" s="90">
        <v>0</v>
      </c>
      <c r="R123" s="90" t="s">
        <v>442</v>
      </c>
      <c r="S123" s="90"/>
    </row>
    <row r="124" spans="1:19" x14ac:dyDescent="0.25">
      <c r="A124" s="45" t="s">
        <v>393</v>
      </c>
      <c r="B124" t="s">
        <v>395</v>
      </c>
      <c r="C124" s="90">
        <v>0</v>
      </c>
      <c r="D124" s="90"/>
      <c r="E124" s="90">
        <v>0</v>
      </c>
      <c r="F124" s="90">
        <v>0</v>
      </c>
      <c r="G124" s="90"/>
      <c r="H124" s="90">
        <v>0</v>
      </c>
      <c r="I124" s="90">
        <v>0</v>
      </c>
      <c r="J124" s="90"/>
      <c r="K124" s="90">
        <v>0</v>
      </c>
      <c r="L124" s="90">
        <v>0</v>
      </c>
      <c r="M124" s="90"/>
      <c r="N124" s="90">
        <v>0</v>
      </c>
      <c r="O124" s="90">
        <v>0</v>
      </c>
      <c r="P124" s="90"/>
      <c r="Q124" s="90">
        <v>0</v>
      </c>
      <c r="R124" s="90" t="s">
        <v>442</v>
      </c>
      <c r="S124" s="90"/>
    </row>
    <row r="125" spans="1:19" x14ac:dyDescent="0.25">
      <c r="A125" s="45" t="s">
        <v>394</v>
      </c>
      <c r="B125" t="s">
        <v>395</v>
      </c>
      <c r="C125" s="90">
        <v>0</v>
      </c>
      <c r="D125" s="90"/>
      <c r="E125" s="90">
        <v>0</v>
      </c>
      <c r="F125" s="90">
        <v>0</v>
      </c>
      <c r="G125" s="90"/>
      <c r="H125" s="90">
        <v>0</v>
      </c>
      <c r="I125" s="90">
        <v>0</v>
      </c>
      <c r="J125" s="90"/>
      <c r="K125" s="90">
        <v>0</v>
      </c>
      <c r="L125" s="90">
        <v>0</v>
      </c>
      <c r="M125" s="90"/>
      <c r="N125" s="90">
        <v>0</v>
      </c>
      <c r="O125" s="90">
        <v>0</v>
      </c>
      <c r="P125" s="90"/>
      <c r="Q125" s="90">
        <v>0</v>
      </c>
      <c r="R125" s="90" t="s">
        <v>442</v>
      </c>
      <c r="S125" s="90"/>
    </row>
    <row r="126" spans="1:19" x14ac:dyDescent="0.25">
      <c r="A126" s="45" t="s">
        <v>387</v>
      </c>
      <c r="B126" t="s">
        <v>395</v>
      </c>
      <c r="C126" s="90">
        <v>0</v>
      </c>
      <c r="D126" s="90"/>
      <c r="E126" s="90">
        <v>0</v>
      </c>
      <c r="F126" s="90">
        <v>0</v>
      </c>
      <c r="G126" s="90"/>
      <c r="H126" s="90">
        <v>0</v>
      </c>
      <c r="I126" s="90">
        <v>0</v>
      </c>
      <c r="J126" s="90"/>
      <c r="K126" s="90">
        <v>0</v>
      </c>
      <c r="L126" s="90">
        <v>0</v>
      </c>
      <c r="M126" s="90"/>
      <c r="N126" s="90">
        <v>0</v>
      </c>
      <c r="O126" s="90">
        <v>0</v>
      </c>
      <c r="P126" s="90"/>
      <c r="Q126" s="90">
        <v>0</v>
      </c>
      <c r="R126" s="90" t="s">
        <v>442</v>
      </c>
      <c r="S126" s="90"/>
    </row>
    <row r="127" spans="1:19" x14ac:dyDescent="0.25">
      <c r="A127" s="45" t="s">
        <v>389</v>
      </c>
      <c r="B127" t="s">
        <v>395</v>
      </c>
      <c r="C127">
        <v>0</v>
      </c>
      <c r="E127">
        <v>0</v>
      </c>
      <c r="F127">
        <v>0</v>
      </c>
      <c r="H127">
        <v>0</v>
      </c>
      <c r="I127">
        <v>0</v>
      </c>
      <c r="K127">
        <v>0</v>
      </c>
      <c r="L127">
        <v>0</v>
      </c>
      <c r="N127">
        <v>0</v>
      </c>
      <c r="O127">
        <v>0</v>
      </c>
      <c r="P127" s="90"/>
      <c r="Q127" s="90">
        <v>0</v>
      </c>
      <c r="R127" s="90" t="s">
        <v>442</v>
      </c>
      <c r="S127" s="90"/>
    </row>
    <row r="128" spans="1:19" x14ac:dyDescent="0.25">
      <c r="A128" s="45" t="s">
        <v>390</v>
      </c>
      <c r="B128" t="s">
        <v>391</v>
      </c>
      <c r="C128" s="90">
        <v>79.978346268484287</v>
      </c>
      <c r="D128" s="90"/>
      <c r="E128" s="90">
        <v>156.82028680094956</v>
      </c>
      <c r="F128" s="90">
        <v>38.81719199685682</v>
      </c>
      <c r="G128" s="90"/>
      <c r="H128" s="90">
        <v>76.112141170307481</v>
      </c>
      <c r="I128" s="90">
        <v>16.902335129701882</v>
      </c>
      <c r="J128" s="90"/>
      <c r="K128" s="90">
        <v>33.141833587650744</v>
      </c>
      <c r="L128" s="90">
        <v>21.968301120957062</v>
      </c>
      <c r="M128" s="90"/>
      <c r="N128" s="90">
        <v>43.075100237170709</v>
      </c>
      <c r="O128" s="90">
        <v>32.677847917423641</v>
      </c>
      <c r="P128" s="90"/>
      <c r="Q128" s="90">
        <v>64.074211602791451</v>
      </c>
      <c r="R128" s="90"/>
      <c r="S128" s="90" t="s">
        <v>442</v>
      </c>
    </row>
    <row r="129" spans="1:19" x14ac:dyDescent="0.25">
      <c r="A129" s="45" t="s">
        <v>392</v>
      </c>
      <c r="B129" t="s">
        <v>391</v>
      </c>
      <c r="C129" s="90">
        <v>78.449570307776753</v>
      </c>
      <c r="D129" s="90"/>
      <c r="E129" s="90">
        <v>153.82268687799365</v>
      </c>
      <c r="F129" s="90">
        <v>163.03119424157981</v>
      </c>
      <c r="G129" s="90"/>
      <c r="H129" s="90">
        <v>319.66900831682318</v>
      </c>
      <c r="I129" s="90">
        <v>36.394499121973318</v>
      </c>
      <c r="J129" s="90"/>
      <c r="K129" s="90">
        <v>71.361762984261404</v>
      </c>
      <c r="L129" s="90">
        <v>47.000623620518255</v>
      </c>
      <c r="M129" s="90"/>
      <c r="N129" s="90">
        <v>92.158085530427954</v>
      </c>
      <c r="O129" s="90">
        <v>70.362698302481718</v>
      </c>
      <c r="P129" s="90"/>
      <c r="Q129" s="90">
        <v>137.96607510290534</v>
      </c>
      <c r="R129" s="90"/>
      <c r="S129" s="90" t="s">
        <v>442</v>
      </c>
    </row>
    <row r="130" spans="1:19" x14ac:dyDescent="0.25">
      <c r="A130" s="45" t="s">
        <v>393</v>
      </c>
      <c r="B130" t="s">
        <v>391</v>
      </c>
      <c r="C130" s="90">
        <v>132.34766149405561</v>
      </c>
      <c r="D130" s="90"/>
      <c r="E130" s="90">
        <v>259.50521861579534</v>
      </c>
      <c r="F130" s="90">
        <v>283.73140313394293</v>
      </c>
      <c r="G130" s="90"/>
      <c r="H130" s="90">
        <v>556.33608457635864</v>
      </c>
      <c r="I130" s="90">
        <v>81.146224316381108</v>
      </c>
      <c r="J130" s="90"/>
      <c r="K130" s="90">
        <v>159.11024375760999</v>
      </c>
      <c r="L130" s="90">
        <v>110.87950249947616</v>
      </c>
      <c r="M130" s="90"/>
      <c r="N130" s="90">
        <v>217.41078921465913</v>
      </c>
      <c r="O130" s="90">
        <v>156.88270034500346</v>
      </c>
      <c r="P130" s="90"/>
      <c r="Q130" s="90">
        <v>307.61313793137936</v>
      </c>
      <c r="R130" s="90"/>
      <c r="S130" s="90" t="s">
        <v>442</v>
      </c>
    </row>
    <row r="131" spans="1:19" x14ac:dyDescent="0.25">
      <c r="A131" s="45" t="s">
        <v>394</v>
      </c>
      <c r="B131" t="s">
        <v>391</v>
      </c>
      <c r="C131" s="90">
        <v>279.83370500997705</v>
      </c>
      <c r="D131" s="90"/>
      <c r="E131" s="90">
        <v>548.69353923524909</v>
      </c>
      <c r="F131" s="90">
        <v>123.68774667283701</v>
      </c>
      <c r="G131" s="90"/>
      <c r="H131" s="90">
        <v>242.524993476151</v>
      </c>
      <c r="I131" s="90">
        <v>55.908761545577782</v>
      </c>
      <c r="J131" s="90"/>
      <c r="K131" s="90">
        <v>109.62502263838782</v>
      </c>
      <c r="L131" s="90">
        <v>108.09027232145039</v>
      </c>
      <c r="M131" s="90"/>
      <c r="N131" s="90">
        <v>211.94171043421645</v>
      </c>
      <c r="O131" s="90">
        <v>108.09027232145039</v>
      </c>
      <c r="P131" s="90"/>
      <c r="Q131" s="90">
        <v>211.94171043421645</v>
      </c>
      <c r="R131" s="90"/>
      <c r="S131" s="90" t="s">
        <v>442</v>
      </c>
    </row>
    <row r="132" spans="1:19" x14ac:dyDescent="0.25">
      <c r="A132" s="45" t="s">
        <v>387</v>
      </c>
      <c r="B132" t="s">
        <v>391</v>
      </c>
      <c r="C132" s="90">
        <v>582.10026375046505</v>
      </c>
      <c r="D132" s="90"/>
      <c r="E132" s="90">
        <v>25871.122833354002</v>
      </c>
      <c r="F132" s="90">
        <v>167.12504984834186</v>
      </c>
      <c r="G132" s="90"/>
      <c r="H132" s="90">
        <v>7427.7799932596372</v>
      </c>
      <c r="I132" s="90">
        <v>166.31436107156148</v>
      </c>
      <c r="J132" s="90"/>
      <c r="K132" s="90">
        <v>7391.7493809582884</v>
      </c>
      <c r="L132" s="90">
        <v>83.157180535780739</v>
      </c>
      <c r="M132" s="90"/>
      <c r="N132" s="90">
        <v>3695.8746904791442</v>
      </c>
      <c r="O132" s="90">
        <v>166.31436107156148</v>
      </c>
      <c r="P132" s="90"/>
      <c r="Q132" s="90">
        <v>7391.7493809582884</v>
      </c>
      <c r="R132" s="90"/>
      <c r="S132" s="90" t="s">
        <v>442</v>
      </c>
    </row>
    <row r="133" spans="1:19" x14ac:dyDescent="0.25">
      <c r="A133" s="45" t="s">
        <v>389</v>
      </c>
      <c r="B133" t="s">
        <v>391</v>
      </c>
      <c r="C133" s="90">
        <v>82.051231449766661</v>
      </c>
      <c r="D133" s="90"/>
      <c r="E133" s="90">
        <v>3646.7213977674069</v>
      </c>
      <c r="F133" s="90">
        <v>64.171815486745231</v>
      </c>
      <c r="G133" s="90"/>
      <c r="H133" s="90">
        <v>2852.0806882997881</v>
      </c>
      <c r="I133" s="90">
        <v>32.739653928232009</v>
      </c>
      <c r="J133" s="90"/>
      <c r="K133" s="90">
        <v>1455.0957301436449</v>
      </c>
      <c r="L133" s="90">
        <v>35.16481347847143</v>
      </c>
      <c r="M133" s="90"/>
      <c r="N133" s="90">
        <v>1562.8805990431745</v>
      </c>
      <c r="O133" s="90">
        <v>63.296664261248587</v>
      </c>
      <c r="P133" s="90"/>
      <c r="Q133" s="90">
        <v>2813.1850782777146</v>
      </c>
      <c r="R133" s="90"/>
      <c r="S133" s="90" t="s">
        <v>442</v>
      </c>
    </row>
    <row r="134" spans="1:19" x14ac:dyDescent="0.25">
      <c r="A134" s="45" t="s">
        <v>387</v>
      </c>
      <c r="B134" t="s">
        <v>388</v>
      </c>
      <c r="C134" s="90">
        <v>402.35281966927749</v>
      </c>
      <c r="D134" s="90"/>
      <c r="E134" s="90">
        <v>21038.055930419738</v>
      </c>
      <c r="F134" s="90">
        <v>262.25777053124415</v>
      </c>
      <c r="G134" s="90"/>
      <c r="H134" s="90">
        <v>13712.824602940869</v>
      </c>
      <c r="I134" s="90">
        <v>260.98561275845032</v>
      </c>
      <c r="J134" s="90"/>
      <c r="K134" s="90">
        <v>13646.306549461455</v>
      </c>
      <c r="L134" s="90">
        <v>119.61840584762309</v>
      </c>
      <c r="M134" s="90"/>
      <c r="N134" s="90">
        <v>6254.5571685031682</v>
      </c>
      <c r="O134" s="90">
        <v>260.98561275845032</v>
      </c>
      <c r="P134" s="90"/>
      <c r="Q134" s="90">
        <v>13646.306549461455</v>
      </c>
      <c r="R134" s="90"/>
      <c r="S134" s="90" t="s">
        <v>442</v>
      </c>
    </row>
    <row r="135" spans="1:19" x14ac:dyDescent="0.25">
      <c r="A135" s="45" t="s">
        <v>389</v>
      </c>
      <c r="B135" t="s">
        <v>388</v>
      </c>
      <c r="C135" s="90">
        <v>44.758495924905667</v>
      </c>
      <c r="D135" s="90"/>
      <c r="E135" s="90">
        <v>2340.3135124133682</v>
      </c>
      <c r="F135" s="90">
        <v>79.72114000853351</v>
      </c>
      <c r="G135" s="90"/>
      <c r="H135" s="90">
        <v>4168.4256213612289</v>
      </c>
      <c r="I135" s="90">
        <v>40.672723918534381</v>
      </c>
      <c r="J135" s="90"/>
      <c r="K135" s="90">
        <v>2126.678374825327</v>
      </c>
      <c r="L135" s="90">
        <v>44.758495924905667</v>
      </c>
      <c r="M135" s="90"/>
      <c r="N135" s="90">
        <v>2340.3135124133682</v>
      </c>
      <c r="O135" s="90">
        <v>78.633932909166489</v>
      </c>
      <c r="P135" s="90"/>
      <c r="Q135" s="90">
        <v>4111.5781913289666</v>
      </c>
      <c r="R135" s="90"/>
      <c r="S135" s="90" t="s">
        <v>442</v>
      </c>
    </row>
    <row r="136" spans="1:19" x14ac:dyDescent="0.25">
      <c r="A136" s="45" t="s">
        <v>384</v>
      </c>
      <c r="B136" s="95" t="s">
        <v>385</v>
      </c>
      <c r="C136">
        <v>0</v>
      </c>
      <c r="D136">
        <v>0</v>
      </c>
      <c r="F136">
        <v>0</v>
      </c>
      <c r="G136">
        <v>0</v>
      </c>
      <c r="I136">
        <v>0</v>
      </c>
      <c r="J136">
        <v>0</v>
      </c>
      <c r="L136">
        <v>0</v>
      </c>
      <c r="M136">
        <v>0</v>
      </c>
      <c r="O136">
        <v>0</v>
      </c>
      <c r="P136" s="90">
        <v>0</v>
      </c>
      <c r="Q136" s="90"/>
      <c r="R136" s="90"/>
      <c r="S136" s="90"/>
    </row>
    <row r="137" spans="1:19" x14ac:dyDescent="0.25">
      <c r="A137" s="45" t="s">
        <v>386</v>
      </c>
      <c r="B137" s="95" t="s">
        <v>385</v>
      </c>
      <c r="C137" s="90">
        <v>0</v>
      </c>
      <c r="D137" s="90">
        <v>0</v>
      </c>
      <c r="E137" s="90"/>
      <c r="F137" s="90">
        <v>13.994837339892527</v>
      </c>
      <c r="G137" s="90">
        <v>13.994837339892527</v>
      </c>
      <c r="H137" s="90"/>
      <c r="I137" s="90">
        <v>54.850607284502594</v>
      </c>
      <c r="J137" s="90">
        <v>54.850607284502594</v>
      </c>
      <c r="K137" s="90"/>
      <c r="L137" s="90">
        <v>25.190707211806554</v>
      </c>
      <c r="M137" s="90">
        <v>25.190707211806554</v>
      </c>
      <c r="N137" s="90"/>
      <c r="O137" s="90">
        <v>13.994837339892527</v>
      </c>
      <c r="P137" s="90">
        <v>13.994837339892527</v>
      </c>
      <c r="Q137" s="90"/>
      <c r="R137" s="90"/>
      <c r="S137" s="90"/>
    </row>
    <row r="138" spans="1:19" x14ac:dyDescent="0.25">
      <c r="A138" s="45" t="s">
        <v>381</v>
      </c>
      <c r="B138" t="s">
        <v>382</v>
      </c>
      <c r="C138" s="90">
        <v>112.74366365885379</v>
      </c>
      <c r="D138" s="90">
        <v>37.58122121961793</v>
      </c>
      <c r="E138" s="90"/>
      <c r="F138" s="90">
        <v>0</v>
      </c>
      <c r="G138" s="90">
        <v>0</v>
      </c>
      <c r="H138" s="90"/>
      <c r="I138" s="90">
        <v>53.958948116755678</v>
      </c>
      <c r="J138" s="90">
        <v>17.986316038918559</v>
      </c>
      <c r="K138" s="90"/>
      <c r="L138" s="90">
        <v>11.274366365885378</v>
      </c>
      <c r="M138" s="90">
        <v>3.7581221219617928</v>
      </c>
      <c r="N138" s="90"/>
      <c r="O138" s="90">
        <v>28.185915914713448</v>
      </c>
      <c r="P138" s="90">
        <v>9.3953053049044826</v>
      </c>
      <c r="Q138" s="90"/>
      <c r="R138" s="90"/>
      <c r="S138" s="90" t="s">
        <v>442</v>
      </c>
    </row>
    <row r="139" spans="1:19" x14ac:dyDescent="0.25">
      <c r="A139" s="45" t="s">
        <v>383</v>
      </c>
      <c r="B139" t="s">
        <v>382</v>
      </c>
      <c r="C139" s="90">
        <v>240.37279183316559</v>
      </c>
      <c r="D139" s="90">
        <v>80.124263944388531</v>
      </c>
      <c r="E139" s="90"/>
      <c r="F139" s="90">
        <v>0</v>
      </c>
      <c r="G139" s="90">
        <v>0</v>
      </c>
      <c r="H139" s="90"/>
      <c r="I139" s="90">
        <v>79.174030718903552</v>
      </c>
      <c r="J139" s="90">
        <v>26.391343572967852</v>
      </c>
      <c r="K139" s="90"/>
      <c r="L139" s="90">
        <v>24.037279183316556</v>
      </c>
      <c r="M139" s="90">
        <v>8.0124263944388527</v>
      </c>
      <c r="N139" s="90"/>
      <c r="O139" s="90">
        <v>60.093197958291398</v>
      </c>
      <c r="P139" s="90">
        <v>20.031065986097133</v>
      </c>
      <c r="Q139" s="90"/>
      <c r="R139" s="90"/>
      <c r="S139" s="90" t="s">
        <v>442</v>
      </c>
    </row>
    <row r="140" spans="1:19" x14ac:dyDescent="0.25">
      <c r="A140" s="45" t="s">
        <v>443</v>
      </c>
      <c r="C140" s="90">
        <f>SUBTOTAL(109,Tabel1[All electric GWh])</f>
        <v>15200.802257694879</v>
      </c>
      <c r="D140" s="90">
        <f>SUBTOTAL(109,Tabel1[All electric MW])</f>
        <v>1695.6140106544892</v>
      </c>
      <c r="E140" s="90">
        <f>SUBTOTAL(109,Tabel1[All electric units])</f>
        <v>208851.23495780333</v>
      </c>
      <c r="F140" s="90">
        <f>SUBTOTAL(109,Tabel1[LHC GWh])</f>
        <v>14096.714672544891</v>
      </c>
      <c r="G140" s="90">
        <f>SUBTOTAL(109,Tabel1[LHC MW])</f>
        <v>933.35303505507943</v>
      </c>
      <c r="H140" s="90">
        <f>SUBTOTAL(109,Tabel1[LHC units])</f>
        <v>198767.40664221279</v>
      </c>
      <c r="I140" s="90">
        <f>SUBTOTAL(109,Tabel1[DHC GWh])</f>
        <v>15642.042474012564</v>
      </c>
      <c r="J140" s="90">
        <f>SUBTOTAL(109,Tabel1[DHC MW])</f>
        <v>2510.4521641934884</v>
      </c>
      <c r="K140" s="90">
        <f>SUBTOTAL(109,Tabel1[DHC units])</f>
        <v>177026.31069889048</v>
      </c>
      <c r="L140" s="90">
        <f>SUBTOTAL(109,Tabel1[BAU GWh])</f>
        <v>15200.802257694879</v>
      </c>
      <c r="M140" s="90">
        <f>SUBTOTAL(109,Tabel1[BAU MW])</f>
        <v>1762.014098761641</v>
      </c>
      <c r="N140" s="90">
        <f>SUBTOTAL(109,Tabel1[BAU units])</f>
        <v>191399.26409510634</v>
      </c>
      <c r="O140" s="90">
        <f>SUBTOTAL(109,Tabel1[Technology Neutral GWh])</f>
        <v>15200.80225769489</v>
      </c>
      <c r="P140" s="90">
        <f>SUBTOTAL(109,Tabel1[Technology Neutral MW])</f>
        <v>1737.5816313316327</v>
      </c>
      <c r="Q140" s="90">
        <f>SUBTOTAL(109,Tabel1[Technology Neutral units])</f>
        <v>196356.04235770131</v>
      </c>
      <c r="R140">
        <f>SUBTOTAL(103,Tabel1[põletamine])</f>
        <v>52</v>
      </c>
    </row>
  </sheetData>
  <mergeCells count="6">
    <mergeCell ref="L14:N14"/>
    <mergeCell ref="O14:Q14"/>
    <mergeCell ref="B1:F1"/>
    <mergeCell ref="C14:E14"/>
    <mergeCell ref="F14:H14"/>
    <mergeCell ref="I14:K14"/>
  </mergeCells>
  <pageMargins left="0.7" right="0.7" top="0.75" bottom="0.75" header="0.3" footer="0.3"/>
  <pageSetup orientation="portrait" horizontalDpi="1200" verticalDpi="120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EE0E0-F121-4FBB-8C93-8474E7022CC2}">
  <dimension ref="A1:I14"/>
  <sheetViews>
    <sheetView workbookViewId="0">
      <selection activeCell="H2" sqref="H2:I2"/>
    </sheetView>
  </sheetViews>
  <sheetFormatPr defaultRowHeight="15" x14ac:dyDescent="0.25"/>
  <cols>
    <col min="1" max="1" width="46.42578125" bestFit="1" customWidth="1"/>
    <col min="2" max="9" width="10.7109375" customWidth="1"/>
  </cols>
  <sheetData>
    <row r="1" spans="1:9" x14ac:dyDescent="0.25">
      <c r="B1" s="153" t="s">
        <v>458</v>
      </c>
      <c r="C1" s="153"/>
      <c r="D1" s="153"/>
      <c r="E1" s="153"/>
      <c r="F1" s="153"/>
      <c r="G1" s="153"/>
      <c r="H1" s="153"/>
      <c r="I1" s="153"/>
    </row>
    <row r="2" spans="1:9" x14ac:dyDescent="0.25">
      <c r="B2" s="150" t="s">
        <v>323</v>
      </c>
      <c r="C2" s="150"/>
      <c r="D2" s="151" t="s">
        <v>468</v>
      </c>
      <c r="E2" s="152"/>
      <c r="F2" s="150" t="s">
        <v>469</v>
      </c>
      <c r="G2" s="150"/>
      <c r="H2" s="151" t="s">
        <v>470</v>
      </c>
      <c r="I2" s="152"/>
    </row>
    <row r="3" spans="1:9" x14ac:dyDescent="0.25">
      <c r="B3" s="100" t="s">
        <v>336</v>
      </c>
      <c r="C3" s="100" t="s">
        <v>457</v>
      </c>
      <c r="D3" s="103" t="s">
        <v>336</v>
      </c>
      <c r="E3" s="105" t="s">
        <v>457</v>
      </c>
      <c r="F3" s="100" t="s">
        <v>336</v>
      </c>
      <c r="G3" s="100" t="s">
        <v>457</v>
      </c>
      <c r="H3" s="103" t="s">
        <v>336</v>
      </c>
      <c r="I3" s="105" t="s">
        <v>457</v>
      </c>
    </row>
    <row r="4" spans="1:9" x14ac:dyDescent="0.25">
      <c r="A4" t="s">
        <v>459</v>
      </c>
      <c r="B4" s="98" t="s">
        <v>460</v>
      </c>
      <c r="C4" s="98" t="s">
        <v>461</v>
      </c>
      <c r="D4" s="104" t="s">
        <v>462</v>
      </c>
      <c r="E4" s="106" t="s">
        <v>463</v>
      </c>
      <c r="F4" s="98" t="s">
        <v>464</v>
      </c>
      <c r="G4" s="98" t="s">
        <v>465</v>
      </c>
      <c r="H4" s="104" t="s">
        <v>466</v>
      </c>
      <c r="I4" s="106" t="s">
        <v>467</v>
      </c>
    </row>
    <row r="5" spans="1:9" x14ac:dyDescent="0.25">
      <c r="A5" t="s">
        <v>149</v>
      </c>
      <c r="B5" s="99">
        <v>678</v>
      </c>
      <c r="C5" s="99">
        <v>5.9378784000000007</v>
      </c>
      <c r="D5" s="101">
        <v>561</v>
      </c>
      <c r="E5" s="102">
        <v>4.9143600000000003</v>
      </c>
      <c r="F5" s="99">
        <v>576.12587004506895</v>
      </c>
      <c r="G5" s="99">
        <v>5.046862621594804</v>
      </c>
      <c r="H5" s="101">
        <v>0</v>
      </c>
      <c r="I5" s="102">
        <v>0</v>
      </c>
    </row>
    <row r="6" spans="1:9" x14ac:dyDescent="0.25">
      <c r="A6" t="s">
        <v>448</v>
      </c>
      <c r="B6" s="99">
        <v>12.365028203062</v>
      </c>
      <c r="C6" s="99">
        <v>0.10831764705882313</v>
      </c>
      <c r="D6" s="101">
        <v>43.144641418211101</v>
      </c>
      <c r="E6" s="102">
        <v>0.37794705882352925</v>
      </c>
      <c r="F6" s="99">
        <v>12.365028203062</v>
      </c>
      <c r="G6" s="99">
        <v>0.10831764705882313</v>
      </c>
      <c r="H6" s="101">
        <v>149.31103948428699</v>
      </c>
      <c r="I6" s="102">
        <v>1.3079647058823543</v>
      </c>
    </row>
    <row r="7" spans="1:9" x14ac:dyDescent="0.25">
      <c r="A7" t="s">
        <v>449</v>
      </c>
      <c r="B7" s="99">
        <v>26.470122521349701</v>
      </c>
      <c r="C7" s="99">
        <v>0.23187827328702337</v>
      </c>
      <c r="D7" s="101">
        <v>31.385775170745699</v>
      </c>
      <c r="E7" s="102">
        <v>0.27493939049573229</v>
      </c>
      <c r="F7" s="99">
        <v>31.385775170745699</v>
      </c>
      <c r="G7" s="99">
        <v>0.27493939049573229</v>
      </c>
      <c r="H7" s="101">
        <v>26.167758833942798</v>
      </c>
      <c r="I7" s="102">
        <v>0.22922956738533892</v>
      </c>
    </row>
    <row r="8" spans="1:9" x14ac:dyDescent="0.25">
      <c r="A8" t="s">
        <v>450</v>
      </c>
      <c r="B8" s="99">
        <v>11.3758259468171</v>
      </c>
      <c r="C8" s="99">
        <v>9.9652235294117791E-2</v>
      </c>
      <c r="D8" s="101">
        <v>39.693070104754199</v>
      </c>
      <c r="E8" s="102">
        <v>0.34771129411764673</v>
      </c>
      <c r="F8" s="99">
        <v>11.3758259468171</v>
      </c>
      <c r="G8" s="99">
        <v>9.9652235294117791E-2</v>
      </c>
      <c r="H8" s="101">
        <v>137.36615632554401</v>
      </c>
      <c r="I8" s="102">
        <v>1.2033275294117656</v>
      </c>
    </row>
    <row r="9" spans="1:9" x14ac:dyDescent="0.25">
      <c r="A9" t="s">
        <v>451</v>
      </c>
      <c r="B9" s="99">
        <v>28.292262912423201</v>
      </c>
      <c r="C9" s="99">
        <v>0.24784022311282725</v>
      </c>
      <c r="D9" s="101">
        <v>23.376610263027199</v>
      </c>
      <c r="E9" s="102">
        <v>0.20477910590411824</v>
      </c>
      <c r="F9" s="99">
        <v>23.3766102630271</v>
      </c>
      <c r="G9" s="99">
        <v>0.20477910590411738</v>
      </c>
      <c r="H9" s="101">
        <v>28.594626599830001</v>
      </c>
      <c r="I9" s="102">
        <v>0.25048892901451081</v>
      </c>
    </row>
    <row r="10" spans="1:9" x14ac:dyDescent="0.25">
      <c r="A10" t="s">
        <v>452</v>
      </c>
      <c r="B10" s="99">
        <v>1.2390008058017701</v>
      </c>
      <c r="C10" s="99">
        <v>1.0853647058823506E-2</v>
      </c>
      <c r="D10" s="101">
        <v>4.3231802309965097</v>
      </c>
      <c r="E10" s="102">
        <v>3.7871058823529424E-2</v>
      </c>
      <c r="F10" s="99">
        <v>1.2390008058017701</v>
      </c>
      <c r="G10" s="99">
        <v>1.0853647058823506E-2</v>
      </c>
      <c r="H10" s="101">
        <v>14.961267794789199</v>
      </c>
      <c r="I10" s="102">
        <v>0.13106070588235338</v>
      </c>
    </row>
    <row r="11" spans="1:9" x14ac:dyDescent="0.25">
      <c r="A11" t="s">
        <v>453</v>
      </c>
      <c r="B11" s="99">
        <v>1.0258393768466301</v>
      </c>
      <c r="C11" s="99">
        <v>8.98635294117648E-3</v>
      </c>
      <c r="D11" s="101">
        <v>1.0258393768466301</v>
      </c>
      <c r="E11" s="102">
        <v>8.98635294117648E-3</v>
      </c>
      <c r="F11" s="99">
        <v>1.0258393768466301</v>
      </c>
      <c r="G11" s="99">
        <v>8.98635294117648E-3</v>
      </c>
      <c r="H11" s="101">
        <v>1.0258393768466301</v>
      </c>
      <c r="I11" s="102">
        <v>8.98635294117648E-3</v>
      </c>
    </row>
    <row r="12" spans="1:9" x14ac:dyDescent="0.25">
      <c r="A12" t="s">
        <v>456</v>
      </c>
      <c r="B12" s="99">
        <v>0</v>
      </c>
      <c r="C12" s="99">
        <v>0</v>
      </c>
      <c r="D12" s="101">
        <v>89.433649646031</v>
      </c>
      <c r="E12" s="102">
        <v>0.78343877089923164</v>
      </c>
      <c r="F12" s="99">
        <v>0</v>
      </c>
      <c r="G12" s="99">
        <v>0</v>
      </c>
      <c r="H12" s="101">
        <v>0</v>
      </c>
      <c r="I12" s="102">
        <v>0</v>
      </c>
    </row>
    <row r="13" spans="1:9" x14ac:dyDescent="0.25">
      <c r="A13" t="s">
        <v>454</v>
      </c>
      <c r="B13" s="99">
        <v>20.845437135541101</v>
      </c>
      <c r="C13" s="99">
        <v>0.18260602930734005</v>
      </c>
      <c r="D13" s="101">
        <v>34.5182507405734</v>
      </c>
      <c r="E13" s="102">
        <v>0.30237987648742304</v>
      </c>
      <c r="F13" s="99">
        <v>32.692249923462398</v>
      </c>
      <c r="G13" s="99">
        <v>0.28638410932953062</v>
      </c>
      <c r="H13" s="101">
        <v>22.547778647745201</v>
      </c>
      <c r="I13" s="102">
        <v>0.19751854095424795</v>
      </c>
    </row>
    <row r="14" spans="1:9" x14ac:dyDescent="0.25">
      <c r="A14" t="s">
        <v>455</v>
      </c>
      <c r="B14" s="99">
        <v>9.1455450029082197</v>
      </c>
      <c r="C14" s="99">
        <v>8.0114974225476004E-2</v>
      </c>
      <c r="D14" s="101">
        <v>9.1455450029082197</v>
      </c>
      <c r="E14" s="102">
        <v>8.0114974225476004E-2</v>
      </c>
      <c r="F14" s="99">
        <v>87.164078912332897</v>
      </c>
      <c r="G14" s="99">
        <v>0.76355733127203618</v>
      </c>
      <c r="H14" s="101">
        <v>49.948745785114099</v>
      </c>
      <c r="I14" s="102">
        <v>0.43755101307759947</v>
      </c>
    </row>
  </sheetData>
  <mergeCells count="5">
    <mergeCell ref="B2:C2"/>
    <mergeCell ref="D2:E2"/>
    <mergeCell ref="F2:G2"/>
    <mergeCell ref="H2:I2"/>
    <mergeCell ref="B1:I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A2D2F-EE1A-4C38-A962-835A364CDCBB}">
  <dimension ref="A1:M81"/>
  <sheetViews>
    <sheetView zoomScale="85" zoomScaleNormal="85" workbookViewId="0">
      <selection activeCell="J5" sqref="J5"/>
    </sheetView>
  </sheetViews>
  <sheetFormatPr defaultRowHeight="15" x14ac:dyDescent="0.25"/>
  <cols>
    <col min="1" max="1" width="16.28515625" customWidth="1"/>
    <col min="2" max="2" width="75.7109375" customWidth="1"/>
    <col min="3" max="5" width="12.7109375" customWidth="1"/>
    <col min="6" max="6" width="19.5703125" style="27" customWidth="1"/>
    <col min="7" max="7" width="8" bestFit="1" customWidth="1"/>
    <col min="9" max="9" width="16.42578125" customWidth="1"/>
    <col min="10" max="10" width="75.7109375" customWidth="1"/>
    <col min="11" max="11" width="15.5703125" bestFit="1" customWidth="1"/>
    <col min="12" max="12" width="12.7109375" customWidth="1"/>
    <col min="13" max="13" width="12.140625" customWidth="1"/>
  </cols>
  <sheetData>
    <row r="1" spans="1:13" ht="38.450000000000003" customHeight="1" x14ac:dyDescent="0.25">
      <c r="A1" s="28" t="s">
        <v>171</v>
      </c>
      <c r="B1" s="28" t="s">
        <v>172</v>
      </c>
      <c r="C1" s="154" t="s">
        <v>173</v>
      </c>
      <c r="D1" s="154"/>
      <c r="E1" s="154"/>
      <c r="F1" s="154"/>
      <c r="G1" s="154"/>
      <c r="I1" s="155" t="s">
        <v>346</v>
      </c>
      <c r="J1" s="155"/>
      <c r="K1" s="155"/>
      <c r="L1" s="155"/>
      <c r="M1" s="155"/>
    </row>
    <row r="2" spans="1:13" ht="34.5" x14ac:dyDescent="0.25">
      <c r="A2" s="28"/>
      <c r="B2" s="28"/>
      <c r="C2" s="29" t="s">
        <v>174</v>
      </c>
      <c r="D2" s="29" t="s">
        <v>175</v>
      </c>
      <c r="E2" s="29" t="s">
        <v>176</v>
      </c>
      <c r="F2" s="30" t="s">
        <v>177</v>
      </c>
      <c r="G2" s="29" t="s">
        <v>178</v>
      </c>
      <c r="I2" s="28" t="s">
        <v>171</v>
      </c>
      <c r="J2" s="28" t="s">
        <v>172</v>
      </c>
      <c r="K2" s="29" t="s">
        <v>176</v>
      </c>
      <c r="L2" s="30" t="s">
        <v>177</v>
      </c>
      <c r="M2" s="29" t="s">
        <v>178</v>
      </c>
    </row>
    <row r="3" spans="1:13" ht="17.25" x14ac:dyDescent="0.25">
      <c r="A3" s="29"/>
      <c r="B3" s="29"/>
      <c r="C3" s="29"/>
      <c r="D3" s="29"/>
      <c r="E3" s="29"/>
      <c r="F3" s="30"/>
      <c r="G3" s="29"/>
      <c r="I3" s="31">
        <v>2025884</v>
      </c>
      <c r="J3" s="31" t="str">
        <f>VLOOKUP(I3,$A$4:$B$81,2)</f>
        <v>Vääveldioksiid</v>
      </c>
      <c r="K3" s="32"/>
      <c r="L3" s="32">
        <f ca="1">SUMIF($A$4:F81,I3,$F$4:F81)</f>
        <v>26807.183000000001</v>
      </c>
      <c r="M3" s="31" t="str">
        <f t="shared" ref="M3:M35" si="0">VLOOKUP(I3,$A$4:$G$81,7)</f>
        <v>t</v>
      </c>
    </row>
    <row r="4" spans="1:13" ht="17.25" x14ac:dyDescent="0.25">
      <c r="A4" s="64">
        <v>2025884</v>
      </c>
      <c r="B4" s="33" t="s">
        <v>186</v>
      </c>
      <c r="C4" s="33">
        <v>2014</v>
      </c>
      <c r="D4" s="33"/>
      <c r="E4" s="33"/>
      <c r="F4" s="65">
        <v>3981.5909999999999</v>
      </c>
      <c r="G4" s="33" t="s">
        <v>181</v>
      </c>
      <c r="I4" s="31">
        <v>2148878</v>
      </c>
      <c r="J4" s="31" t="str">
        <f t="shared" ref="J4:J35" si="1">VLOOKUP(I4,$A$4:$B$81,2)</f>
        <v>Vesiniksulfiid</v>
      </c>
      <c r="K4" s="32"/>
      <c r="L4" s="32">
        <f ca="1">SUMIF($A$4:F82,I4,$F$4:F82)</f>
        <v>6.0000000000000001E-3</v>
      </c>
      <c r="M4" s="31" t="str">
        <f t="shared" si="0"/>
        <v>t</v>
      </c>
    </row>
    <row r="5" spans="1:13" ht="17.25" x14ac:dyDescent="0.25">
      <c r="A5" s="31">
        <v>2025884</v>
      </c>
      <c r="B5" s="34" t="s">
        <v>186</v>
      </c>
      <c r="C5" s="33">
        <v>2022</v>
      </c>
      <c r="D5" s="33"/>
      <c r="E5" s="33"/>
      <c r="F5" s="65">
        <v>22400.863000000001</v>
      </c>
      <c r="G5" s="33" t="s">
        <v>181</v>
      </c>
      <c r="I5" s="33" t="s">
        <v>187</v>
      </c>
      <c r="J5" s="31" t="str">
        <f>VLOOKUP(I5,$A$4:$B$81,2)</f>
        <v>Lämmastikdioksiid</v>
      </c>
      <c r="K5" s="32"/>
      <c r="L5" s="32">
        <f ca="1">SUMIF($A$4:F83,I5,$F$4:F83)</f>
        <v>13867.055</v>
      </c>
      <c r="M5" s="31" t="str">
        <f t="shared" si="0"/>
        <v>t</v>
      </c>
    </row>
    <row r="6" spans="1:13" ht="17.25" x14ac:dyDescent="0.25">
      <c r="A6" s="31">
        <v>2025884</v>
      </c>
      <c r="B6" s="34" t="s">
        <v>186</v>
      </c>
      <c r="C6" s="33">
        <v>2024</v>
      </c>
      <c r="D6" s="33"/>
      <c r="E6" s="33"/>
      <c r="F6" s="65">
        <v>424.72899999999998</v>
      </c>
      <c r="G6" s="33" t="s">
        <v>181</v>
      </c>
      <c r="I6" s="34" t="s">
        <v>236</v>
      </c>
      <c r="J6" s="31" t="str">
        <f t="shared" si="1"/>
        <v>Heksaklorobenseen (HCB)</v>
      </c>
      <c r="K6" s="32"/>
      <c r="L6" s="32">
        <f ca="1">SUMIF($A$4:F84,I6,$F$4:F84)</f>
        <v>882.35199999999998</v>
      </c>
      <c r="M6" s="31" t="str">
        <f t="shared" si="0"/>
        <v>mg</v>
      </c>
    </row>
    <row r="7" spans="1:13" ht="17.25" x14ac:dyDescent="0.25">
      <c r="A7" s="31">
        <v>2148878</v>
      </c>
      <c r="B7" s="34" t="s">
        <v>232</v>
      </c>
      <c r="C7" s="33">
        <v>2022</v>
      </c>
      <c r="D7" s="33"/>
      <c r="E7" s="33"/>
      <c r="F7" s="65">
        <v>6.0000000000000001E-3</v>
      </c>
      <c r="G7" s="33" t="s">
        <v>181</v>
      </c>
      <c r="I7" s="33" t="s">
        <v>218</v>
      </c>
      <c r="J7" s="31" t="str">
        <f t="shared" si="1"/>
        <v>Süsinikdioksiid</v>
      </c>
      <c r="K7" s="32"/>
      <c r="L7" s="32">
        <f ca="1">SUMIF($A$4:F85,I7,$F$4:F85)</f>
        <v>16334189.628</v>
      </c>
      <c r="M7" s="31" t="str">
        <f t="shared" si="0"/>
        <v>t</v>
      </c>
    </row>
    <row r="8" spans="1:13" ht="17.25" x14ac:dyDescent="0.25">
      <c r="A8" s="33" t="s">
        <v>187</v>
      </c>
      <c r="B8" s="33" t="s">
        <v>188</v>
      </c>
      <c r="C8" s="33">
        <v>2014</v>
      </c>
      <c r="D8" s="33"/>
      <c r="E8" s="33"/>
      <c r="F8" s="65">
        <v>3010.1460000000002</v>
      </c>
      <c r="G8" s="33" t="s">
        <v>181</v>
      </c>
      <c r="I8" s="33" t="s">
        <v>220</v>
      </c>
      <c r="J8" s="31" t="str">
        <f t="shared" si="1"/>
        <v>Süsinikdioksiid biomassist</v>
      </c>
      <c r="K8" s="32">
        <f ca="1">SUMIF($A$4:F86,I8,$F$4:F86)</f>
        <v>900201.93099999998</v>
      </c>
      <c r="L8" s="32"/>
      <c r="M8" s="31" t="str">
        <f t="shared" si="0"/>
        <v>t</v>
      </c>
    </row>
    <row r="9" spans="1:13" ht="17.25" x14ac:dyDescent="0.25">
      <c r="A9" s="34" t="s">
        <v>187</v>
      </c>
      <c r="B9" s="34" t="s">
        <v>188</v>
      </c>
      <c r="C9" s="33">
        <v>2022</v>
      </c>
      <c r="D9" s="33"/>
      <c r="E9" s="33"/>
      <c r="F9" s="65">
        <v>9351.5759999999991</v>
      </c>
      <c r="G9" s="33" t="s">
        <v>181</v>
      </c>
      <c r="I9" s="34" t="s">
        <v>238</v>
      </c>
      <c r="J9" s="31" t="str">
        <f t="shared" si="1"/>
        <v>Polüklooritud bifenüülid (PCB-d)</v>
      </c>
      <c r="K9" s="32"/>
      <c r="L9" s="32">
        <f ca="1">SUMIF($A$4:F87,I9,$F$4:F87)</f>
        <v>91.903000000000006</v>
      </c>
      <c r="M9" s="31" t="str">
        <f t="shared" si="0"/>
        <v>mg</v>
      </c>
    </row>
    <row r="10" spans="1:13" ht="17.25" x14ac:dyDescent="0.25">
      <c r="A10" s="34" t="s">
        <v>187</v>
      </c>
      <c r="B10" s="34" t="s">
        <v>188</v>
      </c>
      <c r="C10" s="33">
        <v>2024</v>
      </c>
      <c r="D10" s="33"/>
      <c r="E10" s="33"/>
      <c r="F10" s="65">
        <v>1505.3330000000001</v>
      </c>
      <c r="G10" s="33" t="s">
        <v>181</v>
      </c>
      <c r="I10" s="33" t="s">
        <v>228</v>
      </c>
      <c r="J10" s="31" t="str">
        <f t="shared" si="1"/>
        <v>Indeno(1,2,3-cd)püreen</v>
      </c>
      <c r="K10" s="32"/>
      <c r="L10" s="32">
        <f ca="1">SUMIF($A$4:F88,I10,$F$4:F88)</f>
        <v>1302.2629999999999</v>
      </c>
      <c r="M10" s="31" t="str">
        <f t="shared" si="0"/>
        <v>mg</v>
      </c>
    </row>
    <row r="11" spans="1:13" ht="17.25" x14ac:dyDescent="0.25">
      <c r="A11" s="34" t="s">
        <v>236</v>
      </c>
      <c r="B11" s="34" t="s">
        <v>237</v>
      </c>
      <c r="C11" s="33">
        <v>2022</v>
      </c>
      <c r="D11" s="33"/>
      <c r="E11" s="33"/>
      <c r="F11" s="65">
        <v>882.35199999999998</v>
      </c>
      <c r="G11" s="33" t="s">
        <v>235</v>
      </c>
      <c r="I11" s="33" t="s">
        <v>224</v>
      </c>
      <c r="J11" s="31" t="str">
        <f t="shared" si="1"/>
        <v>Benso(b)fluoranteen</v>
      </c>
      <c r="K11" s="32"/>
      <c r="L11" s="32">
        <f ca="1">SUMIF($A$4:F89,I11,$F$4:F89)</f>
        <v>5132.2349999999997</v>
      </c>
      <c r="M11" s="31" t="str">
        <f t="shared" si="0"/>
        <v>mg</v>
      </c>
    </row>
    <row r="12" spans="1:13" ht="17.25" x14ac:dyDescent="0.25">
      <c r="A12" s="33" t="s">
        <v>218</v>
      </c>
      <c r="B12" s="33" t="s">
        <v>219</v>
      </c>
      <c r="C12" s="33">
        <v>2014</v>
      </c>
      <c r="D12" s="33"/>
      <c r="E12" s="33"/>
      <c r="F12" s="65">
        <v>2985185.08</v>
      </c>
      <c r="G12" s="33" t="s">
        <v>181</v>
      </c>
      <c r="I12" s="33" t="s">
        <v>226</v>
      </c>
      <c r="J12" s="31" t="str">
        <f t="shared" si="1"/>
        <v>Benso(k)fluoranteen</v>
      </c>
      <c r="K12" s="32"/>
      <c r="L12" s="32">
        <f ca="1">SUMIF($A$4:F90,I12,$F$4:F90)</f>
        <v>3921.279</v>
      </c>
      <c r="M12" s="31" t="str">
        <f t="shared" si="0"/>
        <v>mg</v>
      </c>
    </row>
    <row r="13" spans="1:13" ht="17.25" x14ac:dyDescent="0.25">
      <c r="A13" s="34" t="s">
        <v>218</v>
      </c>
      <c r="B13" s="34" t="s">
        <v>219</v>
      </c>
      <c r="C13" s="33">
        <v>2022</v>
      </c>
      <c r="D13" s="33"/>
      <c r="E13" s="33"/>
      <c r="F13" s="65">
        <v>11206812.922</v>
      </c>
      <c r="G13" s="33" t="s">
        <v>181</v>
      </c>
      <c r="I13" s="34" t="s">
        <v>222</v>
      </c>
      <c r="J13" s="31" t="str">
        <f t="shared" si="1"/>
        <v>Benso(a)püreen</v>
      </c>
      <c r="K13" s="32"/>
      <c r="L13" s="32">
        <f ca="1">SUMIF($A$4:F91,I13,$F$4:F91)</f>
        <v>29574.832999999999</v>
      </c>
      <c r="M13" s="31" t="str">
        <f t="shared" si="0"/>
        <v>kg</v>
      </c>
    </row>
    <row r="14" spans="1:13" ht="17.25" x14ac:dyDescent="0.25">
      <c r="A14" s="34" t="s">
        <v>218</v>
      </c>
      <c r="B14" s="34" t="s">
        <v>219</v>
      </c>
      <c r="C14" s="33">
        <v>2024</v>
      </c>
      <c r="D14" s="33"/>
      <c r="E14" s="33"/>
      <c r="F14" s="65">
        <v>2142191.6260000002</v>
      </c>
      <c r="G14" s="33" t="s">
        <v>181</v>
      </c>
      <c r="I14" s="33" t="s">
        <v>189</v>
      </c>
      <c r="J14" s="31" t="str">
        <f t="shared" si="1"/>
        <v>Süsinikmonooksiid</v>
      </c>
      <c r="K14" s="32"/>
      <c r="L14" s="32">
        <f ca="1">SUMIF($A$4:F92,I14,$F$4:F92)</f>
        <v>12573.829</v>
      </c>
      <c r="M14" s="31" t="str">
        <f t="shared" si="0"/>
        <v>t</v>
      </c>
    </row>
    <row r="15" spans="1:13" ht="17.25" x14ac:dyDescent="0.25">
      <c r="A15" s="33" t="s">
        <v>220</v>
      </c>
      <c r="B15" s="33" t="s">
        <v>221</v>
      </c>
      <c r="C15" s="33">
        <v>2014</v>
      </c>
      <c r="D15" s="33"/>
      <c r="E15" s="33"/>
      <c r="F15" s="33" t="s">
        <v>244</v>
      </c>
      <c r="G15" s="33" t="s">
        <v>181</v>
      </c>
      <c r="I15" s="33" t="s">
        <v>202</v>
      </c>
      <c r="J15" s="31" t="str">
        <f t="shared" si="1"/>
        <v>Plii ja anorgaanilised ühendid, ümberarvutatuna pliiks</v>
      </c>
      <c r="K15" s="32"/>
      <c r="L15" s="32">
        <f ca="1">SUMIF($A$4:F93,I15,$F$4:F93)</f>
        <v>3385.973</v>
      </c>
      <c r="M15" s="31" t="str">
        <f t="shared" si="0"/>
        <v>kg</v>
      </c>
    </row>
    <row r="16" spans="1:13" ht="17.25" x14ac:dyDescent="0.25">
      <c r="A16" s="34" t="s">
        <v>220</v>
      </c>
      <c r="B16" s="34" t="s">
        <v>221</v>
      </c>
      <c r="C16" s="33">
        <v>2022</v>
      </c>
      <c r="D16" s="33"/>
      <c r="E16" s="33"/>
      <c r="F16" s="33" t="s">
        <v>245</v>
      </c>
      <c r="G16" s="33" t="s">
        <v>181</v>
      </c>
      <c r="I16" s="34" t="s">
        <v>240</v>
      </c>
      <c r="J16" s="31" t="str">
        <f t="shared" si="1"/>
        <v>Mangaan ja ühendid, ümberarvutatuna mangaaniks</v>
      </c>
      <c r="K16" s="32"/>
      <c r="L16" s="32">
        <f ca="1">SUMIF($A$4:F94,I16,$F$4:F94)</f>
        <v>299.56400000000002</v>
      </c>
      <c r="M16" s="31" t="str">
        <f t="shared" si="0"/>
        <v>kg</v>
      </c>
    </row>
    <row r="17" spans="1:13" ht="17.25" x14ac:dyDescent="0.25">
      <c r="A17" s="34" t="s">
        <v>220</v>
      </c>
      <c r="B17" s="34" t="s">
        <v>221</v>
      </c>
      <c r="C17" s="33">
        <v>2024</v>
      </c>
      <c r="D17" s="33"/>
      <c r="E17" s="33"/>
      <c r="F17" s="65">
        <v>900201.93099999998</v>
      </c>
      <c r="G17" s="33" t="s">
        <v>181</v>
      </c>
      <c r="I17" s="33" t="s">
        <v>197</v>
      </c>
      <c r="J17" s="31" t="str">
        <f t="shared" si="1"/>
        <v>Elavhõbe ja ühendid, ümberarvutatana elavhõbedaks</v>
      </c>
      <c r="K17" s="32"/>
      <c r="L17" s="32">
        <f ca="1">SUMIF($A$4:F95,I17,$F$4:F95)</f>
        <v>634.76900000000001</v>
      </c>
      <c r="M17" s="31" t="str">
        <f t="shared" si="0"/>
        <v>kg</v>
      </c>
    </row>
    <row r="18" spans="1:13" ht="17.25" x14ac:dyDescent="0.25">
      <c r="A18" s="34" t="s">
        <v>238</v>
      </c>
      <c r="B18" s="34" t="s">
        <v>239</v>
      </c>
      <c r="C18" s="33">
        <v>2022</v>
      </c>
      <c r="D18" s="33"/>
      <c r="E18" s="33"/>
      <c r="F18" s="65">
        <v>91.903000000000006</v>
      </c>
      <c r="G18" s="33" t="s">
        <v>235</v>
      </c>
      <c r="I18" s="33" t="s">
        <v>212</v>
      </c>
      <c r="J18" s="31" t="str">
        <f t="shared" si="1"/>
        <v>Nikkel ja lahustavad ühendid, ümberarvutatuna nikliks</v>
      </c>
      <c r="K18" s="32"/>
      <c r="L18" s="32">
        <f ca="1">SUMIF($A$4:F96,I18,$F$4:F96)</f>
        <v>2318.4189999999999</v>
      </c>
      <c r="M18" s="31" t="str">
        <f t="shared" si="0"/>
        <v>kg</v>
      </c>
    </row>
    <row r="19" spans="1:13" ht="17.25" x14ac:dyDescent="0.25">
      <c r="A19" s="33" t="s">
        <v>228</v>
      </c>
      <c r="B19" s="33" t="s">
        <v>229</v>
      </c>
      <c r="C19" s="33">
        <v>2014</v>
      </c>
      <c r="D19" s="33"/>
      <c r="E19" s="33"/>
      <c r="F19" s="65">
        <v>1.0960000000000001</v>
      </c>
      <c r="G19" s="33" t="s">
        <v>199</v>
      </c>
      <c r="I19" s="33" t="s">
        <v>208</v>
      </c>
      <c r="J19" s="31" t="str">
        <f t="shared" si="1"/>
        <v>Arseen ja anorgaanilised ühendid, ümberarvutatuna arseeniks</v>
      </c>
      <c r="K19" s="32"/>
      <c r="L19" s="32">
        <f ca="1">SUMIF($A$4:F97,I19,$F$4:F97)</f>
        <v>3103.3869999999997</v>
      </c>
      <c r="M19" s="31" t="str">
        <f t="shared" si="0"/>
        <v>kg</v>
      </c>
    </row>
    <row r="20" spans="1:13" ht="17.25" x14ac:dyDescent="0.25">
      <c r="A20" s="34" t="s">
        <v>228</v>
      </c>
      <c r="B20" s="34" t="s">
        <v>229</v>
      </c>
      <c r="C20" s="33">
        <v>2022</v>
      </c>
      <c r="D20" s="33"/>
      <c r="E20" s="33"/>
      <c r="F20" s="65">
        <v>1301.1669999999999</v>
      </c>
      <c r="G20" s="33" t="s">
        <v>235</v>
      </c>
      <c r="I20" s="33" t="s">
        <v>200</v>
      </c>
      <c r="J20" s="31" t="str">
        <f t="shared" si="1"/>
        <v>Kaadmium ja anorgaanilised ühendid, ümberarvutatuna kaadmiumiks</v>
      </c>
      <c r="K20" s="32"/>
      <c r="L20" s="32">
        <f ca="1">SUMIF($A$4:F98,I20,$F$4:F98)</f>
        <v>388.10399999999998</v>
      </c>
      <c r="M20" s="31" t="str">
        <f t="shared" si="0"/>
        <v>kg</v>
      </c>
    </row>
    <row r="21" spans="1:13" ht="17.25" x14ac:dyDescent="0.25">
      <c r="A21" s="33" t="s">
        <v>224</v>
      </c>
      <c r="B21" s="33" t="s">
        <v>225</v>
      </c>
      <c r="C21" s="33">
        <v>2014</v>
      </c>
      <c r="D21" s="33"/>
      <c r="E21" s="33"/>
      <c r="F21" s="65">
        <v>2.1909999999999998</v>
      </c>
      <c r="G21" s="33" t="s">
        <v>199</v>
      </c>
      <c r="I21" s="33" t="s">
        <v>210</v>
      </c>
      <c r="J21" s="31" t="str">
        <f t="shared" si="1"/>
        <v>Kroomi (VI) ühendid, ümberarvutatuna kroomiks</v>
      </c>
      <c r="K21" s="32"/>
      <c r="L21" s="32">
        <f ca="1">SUMIF($A$4:F99,I21,$F$4:F99)</f>
        <v>2914.2309999999998</v>
      </c>
      <c r="M21" s="31" t="str">
        <f t="shared" si="0"/>
        <v>kg</v>
      </c>
    </row>
    <row r="22" spans="1:13" ht="17.25" x14ac:dyDescent="0.25">
      <c r="A22" s="34" t="s">
        <v>224</v>
      </c>
      <c r="B22" s="34" t="s">
        <v>225</v>
      </c>
      <c r="C22" s="33">
        <v>2022</v>
      </c>
      <c r="D22" s="33"/>
      <c r="E22" s="33"/>
      <c r="F22" s="65">
        <v>5130.0439999999999</v>
      </c>
      <c r="G22" s="33" t="s">
        <v>235</v>
      </c>
      <c r="I22" s="33" t="s">
        <v>204</v>
      </c>
      <c r="J22" s="31" t="str">
        <f t="shared" si="1"/>
        <v>Vask ja anorgaanilised ühendid, ümberarvutatuna vaseks</v>
      </c>
      <c r="K22" s="32"/>
      <c r="L22" s="32">
        <f ca="1">SUMIF($A$4:F100,I22,$F$4:F100)</f>
        <v>3505.5389999999998</v>
      </c>
      <c r="M22" s="31" t="str">
        <f t="shared" si="0"/>
        <v>kg</v>
      </c>
    </row>
    <row r="23" spans="1:13" ht="17.25" x14ac:dyDescent="0.25">
      <c r="A23" s="33" t="s">
        <v>226</v>
      </c>
      <c r="B23" s="33" t="s">
        <v>227</v>
      </c>
      <c r="C23" s="33">
        <v>2014</v>
      </c>
      <c r="D23" s="33"/>
      <c r="E23" s="33"/>
      <c r="F23" s="65">
        <v>1.7410000000000001</v>
      </c>
      <c r="G23" s="33" t="s">
        <v>199</v>
      </c>
      <c r="I23" s="33" t="s">
        <v>216</v>
      </c>
      <c r="J23" s="31" t="str">
        <f t="shared" si="1"/>
        <v>Vanaadium ja ühendid, ümberarvutatuna vanaadiumiks</v>
      </c>
      <c r="K23" s="32"/>
      <c r="L23" s="32">
        <f ca="1">SUMIF($A$4:F101,I23,$F$4:F101)</f>
        <v>136.66500000000002</v>
      </c>
      <c r="M23" s="31" t="str">
        <f t="shared" si="0"/>
        <v>kg</v>
      </c>
    </row>
    <row r="24" spans="1:13" ht="17.25" x14ac:dyDescent="0.25">
      <c r="A24" s="34" t="s">
        <v>226</v>
      </c>
      <c r="B24" s="34" t="s">
        <v>227</v>
      </c>
      <c r="C24" s="33">
        <v>2022</v>
      </c>
      <c r="D24" s="33"/>
      <c r="E24" s="33"/>
      <c r="F24" s="65">
        <v>3919.538</v>
      </c>
      <c r="G24" s="33" t="s">
        <v>235</v>
      </c>
      <c r="I24" s="33" t="s">
        <v>206</v>
      </c>
      <c r="J24" s="31" t="str">
        <f t="shared" si="1"/>
        <v>Tsingiühendid, ümberarvutatuna tsingiks</v>
      </c>
      <c r="K24" s="32"/>
      <c r="L24" s="32">
        <f ca="1">SUMIF($A$4:F102,I24,$F$4:F102)</f>
        <v>18192.816000000003</v>
      </c>
      <c r="M24" s="31" t="str">
        <f t="shared" si="0"/>
        <v>kg</v>
      </c>
    </row>
    <row r="25" spans="1:13" ht="17.25" x14ac:dyDescent="0.25">
      <c r="A25" s="33" t="s">
        <v>222</v>
      </c>
      <c r="B25" s="33" t="s">
        <v>223</v>
      </c>
      <c r="C25" s="33">
        <v>2014</v>
      </c>
      <c r="D25" s="33"/>
      <c r="E25" s="33"/>
      <c r="F25" s="65">
        <v>28.510999999999999</v>
      </c>
      <c r="G25" s="33" t="s">
        <v>199</v>
      </c>
      <c r="I25" s="33" t="s">
        <v>191</v>
      </c>
      <c r="J25" s="31" t="str">
        <f t="shared" si="1"/>
        <v>Vesinikkloriid</v>
      </c>
      <c r="K25" s="32"/>
      <c r="L25" s="32">
        <f ca="1">SUMIF($A$4:F103,I25,$F$4:F103)</f>
        <v>957.03300000000002</v>
      </c>
      <c r="M25" s="31" t="str">
        <f t="shared" si="0"/>
        <v>t</v>
      </c>
    </row>
    <row r="26" spans="1:13" ht="17.25" x14ac:dyDescent="0.25">
      <c r="A26" s="34" t="s">
        <v>222</v>
      </c>
      <c r="B26" s="34" t="s">
        <v>223</v>
      </c>
      <c r="C26" s="33">
        <v>2022</v>
      </c>
      <c r="D26" s="33"/>
      <c r="E26" s="33"/>
      <c r="F26" s="65">
        <v>29537.118999999999</v>
      </c>
      <c r="G26" s="33" t="s">
        <v>235</v>
      </c>
      <c r="I26" s="34" t="s">
        <v>242</v>
      </c>
      <c r="J26" s="31" t="str">
        <f t="shared" si="1"/>
        <v>Vesinikfluoriid</v>
      </c>
      <c r="K26" s="32"/>
      <c r="L26" s="32">
        <f ca="1">SUMIF($A$4:F104,I26,$F$4:F104)</f>
        <v>4.7E-2</v>
      </c>
      <c r="M26" s="31" t="str">
        <f t="shared" si="0"/>
        <v>t</v>
      </c>
    </row>
    <row r="27" spans="1:13" ht="17.25" x14ac:dyDescent="0.25">
      <c r="A27" s="34" t="s">
        <v>222</v>
      </c>
      <c r="B27" s="34" t="s">
        <v>223</v>
      </c>
      <c r="C27" s="33">
        <v>2024</v>
      </c>
      <c r="D27" s="33"/>
      <c r="E27" s="33"/>
      <c r="F27" s="65">
        <v>9.2029999999999994</v>
      </c>
      <c r="G27" s="33" t="s">
        <v>199</v>
      </c>
      <c r="I27" s="33" t="s">
        <v>193</v>
      </c>
      <c r="J27" s="31" t="str">
        <f t="shared" si="1"/>
        <v>Ammoniaak</v>
      </c>
      <c r="K27" s="32"/>
      <c r="L27" s="32">
        <f ca="1">SUMIF($A$4:F105,I27,$F$4:F105)</f>
        <v>199.03700000000001</v>
      </c>
      <c r="M27" s="31" t="str">
        <f t="shared" si="0"/>
        <v>t</v>
      </c>
    </row>
    <row r="28" spans="1:13" ht="17.25" x14ac:dyDescent="0.25">
      <c r="A28" s="33" t="s">
        <v>189</v>
      </c>
      <c r="B28" s="33" t="s">
        <v>190</v>
      </c>
      <c r="C28" s="33">
        <v>2014</v>
      </c>
      <c r="D28" s="33"/>
      <c r="E28" s="33"/>
      <c r="F28" s="65">
        <v>4002.1109999999999</v>
      </c>
      <c r="G28" s="33" t="s">
        <v>181</v>
      </c>
      <c r="I28" s="33" t="s">
        <v>214</v>
      </c>
      <c r="J28" s="31" t="str">
        <f t="shared" si="1"/>
        <v>Seleen ja anorgaanilised ühendid, ümberarvutatuna seleeniks</v>
      </c>
      <c r="K28" s="32"/>
      <c r="L28" s="32">
        <f ca="1">SUMIF($A$4:F106,I28,$F$4:F106)</f>
        <v>8592.6489999999994</v>
      </c>
      <c r="M28" s="31" t="str">
        <f t="shared" si="0"/>
        <v>kg</v>
      </c>
    </row>
    <row r="29" spans="1:13" ht="17.25" x14ac:dyDescent="0.25">
      <c r="A29" s="34" t="s">
        <v>189</v>
      </c>
      <c r="B29" s="34" t="s">
        <v>190</v>
      </c>
      <c r="C29" s="33">
        <v>2022</v>
      </c>
      <c r="D29" s="33"/>
      <c r="E29" s="33"/>
      <c r="F29" s="65">
        <v>7208.0330000000004</v>
      </c>
      <c r="G29" s="33" t="s">
        <v>181</v>
      </c>
      <c r="I29" s="34" t="s">
        <v>230</v>
      </c>
      <c r="J29" s="31" t="str">
        <f t="shared" si="1"/>
        <v>Aromaatsed süsivesinikud</v>
      </c>
      <c r="K29" s="32"/>
      <c r="L29" s="32">
        <f ca="1">SUMIF($A$4:F107,I29,$F$4:F107)</f>
        <v>0</v>
      </c>
      <c r="M29" s="31" t="str">
        <f t="shared" si="0"/>
        <v>t</v>
      </c>
    </row>
    <row r="30" spans="1:13" ht="17.25" x14ac:dyDescent="0.25">
      <c r="A30" s="34" t="s">
        <v>189</v>
      </c>
      <c r="B30" s="34" t="s">
        <v>190</v>
      </c>
      <c r="C30" s="33">
        <v>2024</v>
      </c>
      <c r="D30" s="33"/>
      <c r="E30" s="33"/>
      <c r="F30" s="65">
        <v>1363.6849999999999</v>
      </c>
      <c r="G30" s="33" t="s">
        <v>181</v>
      </c>
      <c r="I30" s="33" t="s">
        <v>195</v>
      </c>
      <c r="J30" s="31" t="str">
        <f t="shared" si="1"/>
        <v>Mittemetaansed lenduvad orgaanilised ühendid</v>
      </c>
      <c r="K30" s="32"/>
      <c r="L30" s="32">
        <f ca="1">SUMIF($A$4:F108,I30,$F$4:F108)</f>
        <v>665.37</v>
      </c>
      <c r="M30" s="31" t="str">
        <f t="shared" si="0"/>
        <v>t</v>
      </c>
    </row>
    <row r="31" spans="1:13" ht="17.25" x14ac:dyDescent="0.25">
      <c r="A31" s="33" t="s">
        <v>202</v>
      </c>
      <c r="B31" s="33" t="s">
        <v>203</v>
      </c>
      <c r="C31" s="33">
        <v>2014</v>
      </c>
      <c r="D31" s="33"/>
      <c r="E31" s="33"/>
      <c r="F31" s="65">
        <v>920.05899999999997</v>
      </c>
      <c r="G31" s="33" t="s">
        <v>199</v>
      </c>
      <c r="I31" s="34" t="s">
        <v>233</v>
      </c>
      <c r="J31" s="31" t="str">
        <f t="shared" si="1"/>
        <v>Polüklooritud dibenso-p-dioksiinid ja dibensofuraanid</v>
      </c>
      <c r="K31" s="32"/>
      <c r="L31" s="32">
        <f ca="1">SUMIF($A$4:F109,I31,$F$4:F109)</f>
        <v>419.11700000000002</v>
      </c>
      <c r="M31" s="31" t="str">
        <f t="shared" si="0"/>
        <v>mg</v>
      </c>
    </row>
    <row r="32" spans="1:13" ht="17.25" x14ac:dyDescent="0.25">
      <c r="A32" s="34" t="s">
        <v>202</v>
      </c>
      <c r="B32" s="34" t="s">
        <v>203</v>
      </c>
      <c r="C32" s="33">
        <v>2022</v>
      </c>
      <c r="D32" s="33"/>
      <c r="E32" s="33"/>
      <c r="F32" s="65">
        <v>2185.2179999999998</v>
      </c>
      <c r="G32" s="33" t="s">
        <v>199</v>
      </c>
      <c r="I32" s="34" t="s">
        <v>233</v>
      </c>
      <c r="J32" s="31" t="str">
        <f t="shared" si="1"/>
        <v>Polüklooritud dibenso-p-dioksiinid ja dibensofuraanid</v>
      </c>
      <c r="K32" s="32"/>
      <c r="L32" s="32">
        <f ca="1">SUMIF($A$4:F110,I32,$F$4:F110)</f>
        <v>419.11700000000002</v>
      </c>
      <c r="M32" s="31" t="str">
        <f t="shared" si="0"/>
        <v>mg</v>
      </c>
    </row>
    <row r="33" spans="1:13" ht="17.25" x14ac:dyDescent="0.25">
      <c r="A33" s="34" t="s">
        <v>202</v>
      </c>
      <c r="B33" s="34" t="s">
        <v>203</v>
      </c>
      <c r="C33" s="33">
        <v>2024</v>
      </c>
      <c r="D33" s="33"/>
      <c r="E33" s="33"/>
      <c r="F33" s="65">
        <v>280.69600000000003</v>
      </c>
      <c r="G33" s="33" t="s">
        <v>199</v>
      </c>
      <c r="I33" s="33" t="s">
        <v>182</v>
      </c>
      <c r="J33" s="31" t="str">
        <f t="shared" si="1"/>
        <v>Peened osakesed (PM10)</v>
      </c>
      <c r="K33" s="32">
        <f ca="1">SUMIF($A$4:F111,I33,$F$4:F111)</f>
        <v>1598.529</v>
      </c>
      <c r="L33" s="32"/>
      <c r="M33" s="31" t="str">
        <f t="shared" si="0"/>
        <v>t</v>
      </c>
    </row>
    <row r="34" spans="1:13" ht="17.25" x14ac:dyDescent="0.25">
      <c r="A34" s="34" t="s">
        <v>240</v>
      </c>
      <c r="B34" s="34" t="s">
        <v>241</v>
      </c>
      <c r="C34" s="33">
        <v>2024</v>
      </c>
      <c r="D34" s="33"/>
      <c r="E34" s="33"/>
      <c r="F34" s="65">
        <v>299.56400000000002</v>
      </c>
      <c r="G34" s="33" t="s">
        <v>199</v>
      </c>
      <c r="I34" s="33" t="s">
        <v>184</v>
      </c>
      <c r="J34" s="31" t="str">
        <f t="shared" si="1"/>
        <v>Eriti peened osakesed (PM2,5)</v>
      </c>
      <c r="K34" s="32">
        <f ca="1">SUMIF($A$4:F112,I34,$F$4:F112)</f>
        <v>855.971</v>
      </c>
      <c r="L34" s="32"/>
      <c r="M34" s="31" t="str">
        <f t="shared" si="0"/>
        <v>t</v>
      </c>
    </row>
    <row r="35" spans="1:13" ht="17.25" x14ac:dyDescent="0.25">
      <c r="A35" s="33" t="s">
        <v>197</v>
      </c>
      <c r="B35" s="33" t="s">
        <v>198</v>
      </c>
      <c r="C35" s="33">
        <v>2014</v>
      </c>
      <c r="D35" s="33"/>
      <c r="E35" s="33"/>
      <c r="F35" s="65">
        <v>177.68100000000001</v>
      </c>
      <c r="G35" s="33" t="s">
        <v>199</v>
      </c>
      <c r="I35" s="33" t="s">
        <v>179</v>
      </c>
      <c r="J35" s="31" t="str">
        <f t="shared" si="1"/>
        <v>Tahked osakesed, summaarsed</v>
      </c>
      <c r="K35" s="32"/>
      <c r="L35" s="32">
        <f ca="1">SUMIF($A$4:F113,I35,$F$4:F113)</f>
        <v>2934.319</v>
      </c>
      <c r="M35" s="31" t="str">
        <f t="shared" si="0"/>
        <v>t</v>
      </c>
    </row>
    <row r="36" spans="1:13" ht="17.25" x14ac:dyDescent="0.25">
      <c r="A36" s="34" t="s">
        <v>197</v>
      </c>
      <c r="B36" s="34" t="s">
        <v>198</v>
      </c>
      <c r="C36" s="33">
        <v>2022</v>
      </c>
      <c r="D36" s="33"/>
      <c r="E36" s="33"/>
      <c r="F36" s="65">
        <v>393.79899999999998</v>
      </c>
      <c r="G36" s="33" t="s">
        <v>199</v>
      </c>
    </row>
    <row r="37" spans="1:13" ht="17.25" x14ac:dyDescent="0.25">
      <c r="A37" s="34" t="s">
        <v>197</v>
      </c>
      <c r="B37" s="34" t="s">
        <v>198</v>
      </c>
      <c r="C37" s="33">
        <v>2024</v>
      </c>
      <c r="D37" s="33"/>
      <c r="E37" s="33"/>
      <c r="F37" s="65">
        <v>63.289000000000001</v>
      </c>
      <c r="G37" s="33" t="s">
        <v>199</v>
      </c>
      <c r="J37" s="45">
        <v>1972</v>
      </c>
      <c r="K37" s="45" t="s">
        <v>336</v>
      </c>
    </row>
    <row r="38" spans="1:13" ht="17.25" x14ac:dyDescent="0.25">
      <c r="A38" s="33" t="s">
        <v>212</v>
      </c>
      <c r="B38" s="33" t="s">
        <v>213</v>
      </c>
      <c r="C38" s="33">
        <v>2014</v>
      </c>
      <c r="D38" s="33"/>
      <c r="E38" s="33"/>
      <c r="F38" s="65">
        <v>615.81799999999998</v>
      </c>
      <c r="G38" s="33" t="s">
        <v>199</v>
      </c>
    </row>
    <row r="39" spans="1:13" ht="17.25" x14ac:dyDescent="0.25">
      <c r="A39" s="34" t="s">
        <v>212</v>
      </c>
      <c r="B39" s="34" t="s">
        <v>213</v>
      </c>
      <c r="C39" s="33">
        <v>2022</v>
      </c>
      <c r="D39" s="33"/>
      <c r="E39" s="33"/>
      <c r="F39" s="65">
        <v>1513.64</v>
      </c>
      <c r="G39" s="33" t="s">
        <v>199</v>
      </c>
    </row>
    <row r="40" spans="1:13" ht="17.25" x14ac:dyDescent="0.25">
      <c r="A40" s="34" t="s">
        <v>212</v>
      </c>
      <c r="B40" s="34" t="s">
        <v>213</v>
      </c>
      <c r="C40" s="33">
        <v>2024</v>
      </c>
      <c r="D40" s="33"/>
      <c r="E40" s="33"/>
      <c r="F40" s="65">
        <v>188.96100000000001</v>
      </c>
      <c r="G40" s="33" t="s">
        <v>199</v>
      </c>
    </row>
    <row r="41" spans="1:13" ht="17.25" x14ac:dyDescent="0.25">
      <c r="A41" s="33" t="s">
        <v>208</v>
      </c>
      <c r="B41" s="33" t="s">
        <v>209</v>
      </c>
      <c r="C41" s="33">
        <v>2014</v>
      </c>
      <c r="D41" s="33"/>
      <c r="E41" s="33"/>
      <c r="F41" s="65">
        <v>880.89</v>
      </c>
      <c r="G41" s="33" t="s">
        <v>199</v>
      </c>
    </row>
    <row r="42" spans="1:13" ht="17.25" x14ac:dyDescent="0.25">
      <c r="A42" s="34" t="s">
        <v>208</v>
      </c>
      <c r="B42" s="34" t="s">
        <v>209</v>
      </c>
      <c r="C42" s="33">
        <v>2022</v>
      </c>
      <c r="D42" s="33"/>
      <c r="E42" s="33"/>
      <c r="F42" s="65">
        <v>1957.6</v>
      </c>
      <c r="G42" s="33" t="s">
        <v>199</v>
      </c>
    </row>
    <row r="43" spans="1:13" ht="17.25" x14ac:dyDescent="0.25">
      <c r="A43" s="34" t="s">
        <v>208</v>
      </c>
      <c r="B43" s="34" t="s">
        <v>209</v>
      </c>
      <c r="C43" s="33">
        <v>2024</v>
      </c>
      <c r="D43" s="33"/>
      <c r="E43" s="33"/>
      <c r="F43" s="65">
        <v>264.89699999999999</v>
      </c>
      <c r="G43" s="33" t="s">
        <v>199</v>
      </c>
    </row>
    <row r="44" spans="1:13" ht="17.25" x14ac:dyDescent="0.25">
      <c r="A44" s="33" t="s">
        <v>200</v>
      </c>
      <c r="B44" s="33" t="s">
        <v>201</v>
      </c>
      <c r="C44" s="33">
        <v>2014</v>
      </c>
      <c r="D44" s="33"/>
      <c r="E44" s="33"/>
      <c r="F44" s="65">
        <v>110.31</v>
      </c>
      <c r="G44" s="33" t="s">
        <v>199</v>
      </c>
    </row>
    <row r="45" spans="1:13" ht="17.25" x14ac:dyDescent="0.25">
      <c r="A45" s="34" t="s">
        <v>200</v>
      </c>
      <c r="B45" s="34" t="s">
        <v>201</v>
      </c>
      <c r="C45" s="33">
        <v>2022</v>
      </c>
      <c r="D45" s="33"/>
      <c r="E45" s="33"/>
      <c r="F45" s="65">
        <v>244.60599999999999</v>
      </c>
      <c r="G45" s="33" t="s">
        <v>199</v>
      </c>
    </row>
    <row r="46" spans="1:13" ht="17.25" x14ac:dyDescent="0.25">
      <c r="A46" s="34" t="s">
        <v>200</v>
      </c>
      <c r="B46" s="34" t="s">
        <v>201</v>
      </c>
      <c r="C46" s="33">
        <v>2024</v>
      </c>
      <c r="D46" s="33"/>
      <c r="E46" s="33"/>
      <c r="F46" s="65">
        <v>33.188000000000002</v>
      </c>
      <c r="G46" s="33" t="s">
        <v>199</v>
      </c>
    </row>
    <row r="47" spans="1:13" ht="17.25" x14ac:dyDescent="0.25">
      <c r="A47" s="33" t="s">
        <v>210</v>
      </c>
      <c r="B47" s="33" t="s">
        <v>211</v>
      </c>
      <c r="C47" s="33">
        <v>2014</v>
      </c>
      <c r="D47" s="33"/>
      <c r="E47" s="33"/>
      <c r="F47" s="65">
        <v>559.66999999999996</v>
      </c>
      <c r="G47" s="33" t="s">
        <v>199</v>
      </c>
    </row>
    <row r="48" spans="1:13" ht="17.25" x14ac:dyDescent="0.25">
      <c r="A48" s="34" t="s">
        <v>210</v>
      </c>
      <c r="B48" s="34" t="s">
        <v>211</v>
      </c>
      <c r="C48" s="33">
        <v>2022</v>
      </c>
      <c r="D48" s="33"/>
      <c r="E48" s="33"/>
      <c r="F48" s="65">
        <v>1242.413</v>
      </c>
      <c r="G48" s="33" t="s">
        <v>199</v>
      </c>
    </row>
    <row r="49" spans="1:7" ht="17.25" x14ac:dyDescent="0.25">
      <c r="A49" s="34" t="s">
        <v>210</v>
      </c>
      <c r="B49" s="34" t="s">
        <v>211</v>
      </c>
      <c r="C49" s="33">
        <v>2024</v>
      </c>
      <c r="D49" s="33"/>
      <c r="E49" s="33"/>
      <c r="F49" s="65">
        <v>1112.1479999999999</v>
      </c>
      <c r="G49" s="33" t="s">
        <v>199</v>
      </c>
    </row>
    <row r="50" spans="1:7" ht="17.25" x14ac:dyDescent="0.25">
      <c r="A50" s="33" t="s">
        <v>204</v>
      </c>
      <c r="B50" s="33" t="s">
        <v>205</v>
      </c>
      <c r="C50" s="33">
        <v>2014</v>
      </c>
      <c r="D50" s="33"/>
      <c r="E50" s="33"/>
      <c r="F50" s="65">
        <v>1493.654</v>
      </c>
      <c r="G50" s="33" t="s">
        <v>199</v>
      </c>
    </row>
    <row r="51" spans="1:7" ht="17.25" x14ac:dyDescent="0.25">
      <c r="A51" s="34" t="s">
        <v>204</v>
      </c>
      <c r="B51" s="34" t="s">
        <v>205</v>
      </c>
      <c r="C51" s="33">
        <v>2022</v>
      </c>
      <c r="D51" s="33"/>
      <c r="E51" s="33"/>
      <c r="F51" s="65">
        <v>1577.846</v>
      </c>
      <c r="G51" s="33" t="s">
        <v>199</v>
      </c>
    </row>
    <row r="52" spans="1:7" ht="17.25" x14ac:dyDescent="0.25">
      <c r="A52" s="34" t="s">
        <v>204</v>
      </c>
      <c r="B52" s="34" t="s">
        <v>205</v>
      </c>
      <c r="C52" s="33">
        <v>2024</v>
      </c>
      <c r="D52" s="33"/>
      <c r="E52" s="33"/>
      <c r="F52" s="65">
        <v>434.03899999999999</v>
      </c>
      <c r="G52" s="33" t="s">
        <v>199</v>
      </c>
    </row>
    <row r="53" spans="1:7" ht="17.25" x14ac:dyDescent="0.25">
      <c r="A53" s="33" t="s">
        <v>216</v>
      </c>
      <c r="B53" s="33" t="s">
        <v>217</v>
      </c>
      <c r="C53" s="33">
        <v>2014</v>
      </c>
      <c r="D53" s="33"/>
      <c r="E53" s="33"/>
      <c r="F53" s="65">
        <v>52.277999999999999</v>
      </c>
      <c r="G53" s="33" t="s">
        <v>199</v>
      </c>
    </row>
    <row r="54" spans="1:7" ht="17.25" x14ac:dyDescent="0.25">
      <c r="A54" s="34" t="s">
        <v>216</v>
      </c>
      <c r="B54" s="34" t="s">
        <v>217</v>
      </c>
      <c r="C54" s="33">
        <v>2022</v>
      </c>
      <c r="D54" s="33"/>
      <c r="E54" s="33"/>
      <c r="F54" s="65">
        <v>78.040000000000006</v>
      </c>
      <c r="G54" s="33" t="s">
        <v>199</v>
      </c>
    </row>
    <row r="55" spans="1:7" ht="17.25" x14ac:dyDescent="0.25">
      <c r="A55" s="34" t="s">
        <v>216</v>
      </c>
      <c r="B55" s="34" t="s">
        <v>217</v>
      </c>
      <c r="C55" s="33">
        <v>2024</v>
      </c>
      <c r="D55" s="33"/>
      <c r="E55" s="33"/>
      <c r="F55" s="65">
        <v>6.3470000000000004</v>
      </c>
      <c r="G55" s="33" t="s">
        <v>199</v>
      </c>
    </row>
    <row r="56" spans="1:7" ht="17.25" x14ac:dyDescent="0.25">
      <c r="A56" s="33" t="s">
        <v>206</v>
      </c>
      <c r="B56" s="33" t="s">
        <v>207</v>
      </c>
      <c r="C56" s="33">
        <v>2014</v>
      </c>
      <c r="D56" s="33"/>
      <c r="E56" s="33"/>
      <c r="F56" s="65">
        <v>8266.6689999999999</v>
      </c>
      <c r="G56" s="33" t="s">
        <v>199</v>
      </c>
    </row>
    <row r="57" spans="1:7" ht="17.25" x14ac:dyDescent="0.25">
      <c r="A57" s="34" t="s">
        <v>206</v>
      </c>
      <c r="B57" s="34" t="s">
        <v>207</v>
      </c>
      <c r="C57" s="33">
        <v>2022</v>
      </c>
      <c r="D57" s="33"/>
      <c r="E57" s="33"/>
      <c r="F57" s="65">
        <v>9055.7819999999992</v>
      </c>
      <c r="G57" s="33" t="s">
        <v>199</v>
      </c>
    </row>
    <row r="58" spans="1:7" ht="17.25" x14ac:dyDescent="0.25">
      <c r="A58" s="34" t="s">
        <v>206</v>
      </c>
      <c r="B58" s="34" t="s">
        <v>207</v>
      </c>
      <c r="C58" s="33">
        <v>2024</v>
      </c>
      <c r="D58" s="33"/>
      <c r="E58" s="33"/>
      <c r="F58" s="65">
        <v>870.36500000000001</v>
      </c>
      <c r="G58" s="33" t="s">
        <v>199</v>
      </c>
    </row>
    <row r="59" spans="1:7" ht="17.25" x14ac:dyDescent="0.25">
      <c r="A59" s="33" t="s">
        <v>191</v>
      </c>
      <c r="B59" s="33" t="s">
        <v>192</v>
      </c>
      <c r="C59" s="33">
        <v>2014</v>
      </c>
      <c r="D59" s="33"/>
      <c r="E59" s="33"/>
      <c r="F59" s="65">
        <v>199.87899999999999</v>
      </c>
      <c r="G59" s="33" t="s">
        <v>181</v>
      </c>
    </row>
    <row r="60" spans="1:7" ht="17.25" x14ac:dyDescent="0.25">
      <c r="A60" s="34" t="s">
        <v>191</v>
      </c>
      <c r="B60" s="34" t="s">
        <v>192</v>
      </c>
      <c r="C60" s="33">
        <v>2022</v>
      </c>
      <c r="D60" s="33"/>
      <c r="E60" s="33"/>
      <c r="F60" s="65">
        <v>538.13800000000003</v>
      </c>
      <c r="G60" s="33" t="s">
        <v>181</v>
      </c>
    </row>
    <row r="61" spans="1:7" ht="17.25" x14ac:dyDescent="0.25">
      <c r="A61" s="34" t="s">
        <v>191</v>
      </c>
      <c r="B61" s="34" t="s">
        <v>192</v>
      </c>
      <c r="C61" s="33">
        <v>2024</v>
      </c>
      <c r="D61" s="33"/>
      <c r="E61" s="33"/>
      <c r="F61" s="65">
        <v>219.01599999999999</v>
      </c>
      <c r="G61" s="33" t="s">
        <v>181</v>
      </c>
    </row>
    <row r="62" spans="1:7" ht="17.25" x14ac:dyDescent="0.25">
      <c r="A62" s="34" t="s">
        <v>242</v>
      </c>
      <c r="B62" s="34" t="s">
        <v>243</v>
      </c>
      <c r="C62" s="33">
        <v>2024</v>
      </c>
      <c r="D62" s="33"/>
      <c r="E62" s="33"/>
      <c r="F62" s="65">
        <v>4.7E-2</v>
      </c>
      <c r="G62" s="33" t="s">
        <v>181</v>
      </c>
    </row>
    <row r="63" spans="1:7" ht="17.25" x14ac:dyDescent="0.25">
      <c r="A63" s="33" t="s">
        <v>193</v>
      </c>
      <c r="B63" s="33" t="s">
        <v>194</v>
      </c>
      <c r="C63" s="33">
        <v>2014</v>
      </c>
      <c r="D63" s="33"/>
      <c r="E63" s="33"/>
      <c r="F63" s="65">
        <v>199.03700000000001</v>
      </c>
      <c r="G63" s="33" t="s">
        <v>181</v>
      </c>
    </row>
    <row r="64" spans="1:7" ht="17.25" x14ac:dyDescent="0.25">
      <c r="A64" s="33" t="s">
        <v>214</v>
      </c>
      <c r="B64" s="33" t="s">
        <v>215</v>
      </c>
      <c r="C64" s="33">
        <v>2014</v>
      </c>
      <c r="D64" s="33"/>
      <c r="E64" s="33"/>
      <c r="F64" s="65">
        <v>2757.6779999999999</v>
      </c>
      <c r="G64" s="33" t="s">
        <v>199</v>
      </c>
    </row>
    <row r="65" spans="1:7" ht="17.25" x14ac:dyDescent="0.25">
      <c r="A65" s="34" t="s">
        <v>214</v>
      </c>
      <c r="B65" s="34" t="s">
        <v>215</v>
      </c>
      <c r="C65" s="33">
        <v>2022</v>
      </c>
      <c r="D65" s="33"/>
      <c r="E65" s="33"/>
      <c r="F65" s="65">
        <v>4961.1480000000001</v>
      </c>
      <c r="G65" s="33" t="s">
        <v>199</v>
      </c>
    </row>
    <row r="66" spans="1:7" ht="17.25" x14ac:dyDescent="0.25">
      <c r="A66" s="34" t="s">
        <v>214</v>
      </c>
      <c r="B66" s="34" t="s">
        <v>215</v>
      </c>
      <c r="C66" s="33">
        <v>2024</v>
      </c>
      <c r="D66" s="33"/>
      <c r="E66" s="33"/>
      <c r="F66" s="65">
        <v>873.82299999999998</v>
      </c>
      <c r="G66" s="33" t="s">
        <v>199</v>
      </c>
    </row>
    <row r="67" spans="1:7" ht="17.25" x14ac:dyDescent="0.25">
      <c r="A67" s="34" t="s">
        <v>230</v>
      </c>
      <c r="B67" s="34" t="s">
        <v>231</v>
      </c>
      <c r="C67" s="33">
        <v>2022</v>
      </c>
      <c r="D67" s="33"/>
      <c r="E67" s="33">
        <v>6.7000000000000004E-2</v>
      </c>
      <c r="F67" s="65"/>
      <c r="G67" s="33" t="s">
        <v>181</v>
      </c>
    </row>
    <row r="68" spans="1:7" ht="17.25" x14ac:dyDescent="0.25">
      <c r="A68" s="33" t="s">
        <v>195</v>
      </c>
      <c r="B68" s="33" t="s">
        <v>196</v>
      </c>
      <c r="C68" s="33">
        <v>2014</v>
      </c>
      <c r="D68" s="33"/>
      <c r="E68" s="33"/>
      <c r="F68" s="65">
        <v>249.31899999999999</v>
      </c>
      <c r="G68" s="33" t="s">
        <v>181</v>
      </c>
    </row>
    <row r="69" spans="1:7" ht="17.25" x14ac:dyDescent="0.25">
      <c r="A69" s="34" t="s">
        <v>195</v>
      </c>
      <c r="B69" s="34" t="s">
        <v>196</v>
      </c>
      <c r="C69" s="33">
        <v>2022</v>
      </c>
      <c r="D69" s="33"/>
      <c r="E69" s="33"/>
      <c r="F69" s="65">
        <v>335.16699999999997</v>
      </c>
      <c r="G69" s="33" t="s">
        <v>181</v>
      </c>
    </row>
    <row r="70" spans="1:7" ht="17.25" x14ac:dyDescent="0.25">
      <c r="A70" s="34" t="s">
        <v>195</v>
      </c>
      <c r="B70" s="34" t="s">
        <v>196</v>
      </c>
      <c r="C70" s="33">
        <v>2024</v>
      </c>
      <c r="D70" s="33"/>
      <c r="E70" s="33"/>
      <c r="F70" s="65">
        <v>80.884</v>
      </c>
      <c r="G70" s="33" t="s">
        <v>181</v>
      </c>
    </row>
    <row r="71" spans="1:7" ht="17.25" x14ac:dyDescent="0.25">
      <c r="A71" s="34" t="s">
        <v>233</v>
      </c>
      <c r="B71" s="34" t="s">
        <v>234</v>
      </c>
      <c r="C71" s="33">
        <v>2022</v>
      </c>
      <c r="D71" s="33"/>
      <c r="E71" s="33"/>
      <c r="F71" s="65">
        <v>2.367</v>
      </c>
      <c r="G71" s="33" t="s">
        <v>235</v>
      </c>
    </row>
    <row r="72" spans="1:7" ht="17.25" x14ac:dyDescent="0.25">
      <c r="A72" s="34" t="s">
        <v>233</v>
      </c>
      <c r="B72" s="34" t="s">
        <v>234</v>
      </c>
      <c r="C72" s="33">
        <v>2024</v>
      </c>
      <c r="D72" s="33"/>
      <c r="E72" s="33"/>
      <c r="F72" s="65">
        <v>416.75</v>
      </c>
      <c r="G72" s="33" t="s">
        <v>235</v>
      </c>
    </row>
    <row r="73" spans="1:7" ht="17.25" x14ac:dyDescent="0.25">
      <c r="A73" s="33" t="s">
        <v>182</v>
      </c>
      <c r="B73" s="33" t="s">
        <v>183</v>
      </c>
      <c r="C73" s="33">
        <v>2014</v>
      </c>
      <c r="D73" s="33"/>
      <c r="E73" s="33"/>
      <c r="F73" s="33">
        <v>187.64500000000001</v>
      </c>
      <c r="G73" s="33" t="s">
        <v>181</v>
      </c>
    </row>
    <row r="74" spans="1:7" ht="17.25" x14ac:dyDescent="0.25">
      <c r="A74" s="34" t="s">
        <v>182</v>
      </c>
      <c r="B74" s="34" t="s">
        <v>183</v>
      </c>
      <c r="C74" s="33">
        <v>2022</v>
      </c>
      <c r="D74" s="33"/>
      <c r="E74" s="33"/>
      <c r="F74" s="33">
        <v>751.18299999999999</v>
      </c>
      <c r="G74" s="33" t="s">
        <v>181</v>
      </c>
    </row>
    <row r="75" spans="1:7" ht="17.25" x14ac:dyDescent="0.25">
      <c r="A75" s="34" t="s">
        <v>182</v>
      </c>
      <c r="B75" s="34" t="s">
        <v>183</v>
      </c>
      <c r="C75" s="33">
        <v>2024</v>
      </c>
      <c r="D75" s="33"/>
      <c r="E75" s="33"/>
      <c r="F75" s="33">
        <v>659.70100000000002</v>
      </c>
      <c r="G75" s="33" t="s">
        <v>181</v>
      </c>
    </row>
    <row r="76" spans="1:7" ht="17.25" x14ac:dyDescent="0.25">
      <c r="A76" s="33" t="s">
        <v>184</v>
      </c>
      <c r="B76" s="33" t="s">
        <v>185</v>
      </c>
      <c r="C76" s="33">
        <v>2014</v>
      </c>
      <c r="D76" s="33"/>
      <c r="E76" s="33"/>
      <c r="F76" s="33">
        <v>106.206</v>
      </c>
      <c r="G76" s="33" t="s">
        <v>181</v>
      </c>
    </row>
    <row r="77" spans="1:7" ht="17.25" x14ac:dyDescent="0.25">
      <c r="A77" s="34" t="s">
        <v>184</v>
      </c>
      <c r="B77" s="34" t="s">
        <v>185</v>
      </c>
      <c r="C77" s="33">
        <v>2022</v>
      </c>
      <c r="D77" s="33"/>
      <c r="E77" s="33"/>
      <c r="F77" s="33">
        <v>365.26799999999997</v>
      </c>
      <c r="G77" s="33" t="s">
        <v>181</v>
      </c>
    </row>
    <row r="78" spans="1:7" ht="17.25" x14ac:dyDescent="0.25">
      <c r="A78" s="34" t="s">
        <v>184</v>
      </c>
      <c r="B78" s="34" t="s">
        <v>185</v>
      </c>
      <c r="C78" s="33">
        <v>2024</v>
      </c>
      <c r="D78" s="33"/>
      <c r="E78" s="33"/>
      <c r="F78" s="33">
        <v>384.49700000000001</v>
      </c>
      <c r="G78" s="33" t="s">
        <v>181</v>
      </c>
    </row>
    <row r="79" spans="1:7" ht="17.25" x14ac:dyDescent="0.25">
      <c r="A79" s="33" t="s">
        <v>179</v>
      </c>
      <c r="B79" s="33" t="s">
        <v>180</v>
      </c>
      <c r="C79" s="33">
        <v>2014</v>
      </c>
      <c r="D79" s="33"/>
      <c r="E79" s="33"/>
      <c r="F79" s="65">
        <v>274.13299999999998</v>
      </c>
      <c r="G79" s="33" t="s">
        <v>181</v>
      </c>
    </row>
    <row r="80" spans="1:7" ht="17.25" x14ac:dyDescent="0.25">
      <c r="A80" s="34" t="s">
        <v>179</v>
      </c>
      <c r="B80" s="34" t="s">
        <v>180</v>
      </c>
      <c r="C80" s="33">
        <v>2022</v>
      </c>
      <c r="D80" s="33"/>
      <c r="E80" s="33"/>
      <c r="F80" s="65">
        <v>1233.8209999999999</v>
      </c>
      <c r="G80" s="33" t="s">
        <v>181</v>
      </c>
    </row>
    <row r="81" spans="1:7" ht="17.25" x14ac:dyDescent="0.25">
      <c r="A81" s="34" t="s">
        <v>179</v>
      </c>
      <c r="B81" s="34" t="s">
        <v>180</v>
      </c>
      <c r="C81" s="33">
        <v>2024</v>
      </c>
      <c r="D81" s="33"/>
      <c r="E81" s="33"/>
      <c r="F81" s="65">
        <v>1426.365</v>
      </c>
      <c r="G81" s="33" t="s">
        <v>181</v>
      </c>
    </row>
  </sheetData>
  <autoFilter ref="A3:G4" xr:uid="{9DEA2D2F-EE1A-4C38-A962-835A364CDCBB}">
    <sortState xmlns:xlrd2="http://schemas.microsoft.com/office/spreadsheetml/2017/richdata2" ref="A4:G81">
      <sortCondition ref="A3:A4"/>
    </sortState>
  </autoFilter>
  <mergeCells count="2">
    <mergeCell ref="C1:G1"/>
    <mergeCell ref="I1:M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246EC-F12B-44F7-9A87-EAF9913434D3}">
  <dimension ref="A1:M23"/>
  <sheetViews>
    <sheetView topLeftCell="A5" zoomScaleNormal="100" workbookViewId="0">
      <selection activeCell="K22" sqref="K22"/>
    </sheetView>
  </sheetViews>
  <sheetFormatPr defaultRowHeight="15" x14ac:dyDescent="0.25"/>
  <cols>
    <col min="1" max="1" width="24.140625" customWidth="1"/>
    <col min="2" max="2" width="16.85546875" customWidth="1"/>
    <col min="3" max="3" width="30.140625" customWidth="1"/>
    <col min="4" max="4" width="19.7109375" customWidth="1"/>
    <col min="5" max="5" width="28.5703125" customWidth="1"/>
    <col min="6" max="6" width="53" customWidth="1"/>
    <col min="7" max="7" width="23" customWidth="1"/>
    <col min="8" max="8" width="25.140625" customWidth="1"/>
    <col min="9" max="9" width="27.7109375" customWidth="1"/>
    <col min="10" max="10" width="7.85546875" bestFit="1" customWidth="1"/>
  </cols>
  <sheetData>
    <row r="1" spans="1:13" x14ac:dyDescent="0.25">
      <c r="A1" t="s">
        <v>477</v>
      </c>
    </row>
    <row r="2" spans="1:13" ht="53.25" x14ac:dyDescent="0.25">
      <c r="A2" s="71" t="s">
        <v>246</v>
      </c>
      <c r="B2" s="71" t="s">
        <v>247</v>
      </c>
      <c r="C2" s="71" t="s">
        <v>248</v>
      </c>
      <c r="D2" s="71" t="s">
        <v>249</v>
      </c>
      <c r="E2" s="71" t="s">
        <v>250</v>
      </c>
      <c r="F2" s="71" t="s">
        <v>251</v>
      </c>
      <c r="G2" s="71" t="s">
        <v>252</v>
      </c>
      <c r="H2" s="71" t="s">
        <v>253</v>
      </c>
      <c r="I2" s="71" t="s">
        <v>321</v>
      </c>
    </row>
    <row r="3" spans="1:13" ht="17.25" x14ac:dyDescent="0.25">
      <c r="A3" s="34" t="s">
        <v>254</v>
      </c>
      <c r="B3" s="72">
        <v>3</v>
      </c>
      <c r="C3" s="34" t="s">
        <v>255</v>
      </c>
      <c r="D3" s="72">
        <v>6</v>
      </c>
      <c r="E3" s="34" t="s">
        <v>256</v>
      </c>
      <c r="F3" s="34" t="s">
        <v>257</v>
      </c>
      <c r="G3" s="72">
        <v>0.24099999999999999</v>
      </c>
      <c r="H3" s="72">
        <v>2E-3</v>
      </c>
      <c r="I3" s="72">
        <f>H3*D3</f>
        <v>1.2E-2</v>
      </c>
    </row>
    <row r="4" spans="1:13" ht="34.5" x14ac:dyDescent="0.25">
      <c r="A4" s="34" t="s">
        <v>258</v>
      </c>
      <c r="B4" s="72">
        <v>1.6</v>
      </c>
      <c r="C4" s="34" t="s">
        <v>259</v>
      </c>
      <c r="D4" s="72">
        <v>2</v>
      </c>
      <c r="E4" s="34" t="s">
        <v>260</v>
      </c>
      <c r="F4" s="34" t="s">
        <v>261</v>
      </c>
      <c r="G4" s="72">
        <v>2.4E-2</v>
      </c>
      <c r="H4" s="72">
        <v>2E-3</v>
      </c>
      <c r="I4" s="72">
        <f>H4*D4</f>
        <v>4.0000000000000001E-3</v>
      </c>
    </row>
    <row r="5" spans="1:13" ht="17.25" x14ac:dyDescent="0.25">
      <c r="A5" s="34" t="s">
        <v>262</v>
      </c>
      <c r="B5" s="72">
        <v>0.3</v>
      </c>
      <c r="C5" s="34" t="s">
        <v>263</v>
      </c>
      <c r="D5" s="72">
        <v>3</v>
      </c>
      <c r="E5" s="73"/>
      <c r="F5" s="34" t="s">
        <v>264</v>
      </c>
      <c r="G5" s="72">
        <v>0.04</v>
      </c>
      <c r="H5" s="72">
        <v>2E-3</v>
      </c>
      <c r="I5" s="72">
        <f t="shared" ref="I5:I13" si="0">H5*D5</f>
        <v>6.0000000000000001E-3</v>
      </c>
    </row>
    <row r="6" spans="1:13" ht="17.25" x14ac:dyDescent="0.25">
      <c r="A6" s="34" t="s">
        <v>265</v>
      </c>
      <c r="B6" s="72">
        <v>2.2999999999999998</v>
      </c>
      <c r="C6" s="34" t="s">
        <v>266</v>
      </c>
      <c r="D6" s="72">
        <v>1</v>
      </c>
      <c r="E6" s="34" t="s">
        <v>256</v>
      </c>
      <c r="F6" s="34" t="s">
        <v>267</v>
      </c>
      <c r="G6" s="72">
        <v>4.0000000000000001E-3</v>
      </c>
      <c r="H6" s="72">
        <v>4.0000000000000001E-3</v>
      </c>
      <c r="I6" s="72">
        <f t="shared" si="0"/>
        <v>4.0000000000000001E-3</v>
      </c>
    </row>
    <row r="7" spans="1:13" ht="17.25" x14ac:dyDescent="0.25">
      <c r="A7" s="34" t="s">
        <v>268</v>
      </c>
      <c r="B7" s="72">
        <v>24</v>
      </c>
      <c r="C7" s="34" t="s">
        <v>269</v>
      </c>
      <c r="D7" s="72">
        <v>8</v>
      </c>
      <c r="E7" s="34" t="s">
        <v>270</v>
      </c>
      <c r="F7" s="34" t="s">
        <v>271</v>
      </c>
      <c r="G7" s="72">
        <v>1.2050000000000001</v>
      </c>
      <c r="H7" s="72">
        <v>7.0000000000000001E-3</v>
      </c>
      <c r="I7" s="72">
        <f t="shared" si="0"/>
        <v>5.6000000000000001E-2</v>
      </c>
    </row>
    <row r="8" spans="1:13" ht="17.25" x14ac:dyDescent="0.25">
      <c r="A8" s="34" t="s">
        <v>272</v>
      </c>
      <c r="B8" s="72">
        <v>45</v>
      </c>
      <c r="C8" s="34" t="s">
        <v>269</v>
      </c>
      <c r="D8" s="72">
        <v>18</v>
      </c>
      <c r="E8" s="34" t="s">
        <v>273</v>
      </c>
      <c r="F8" s="34" t="s">
        <v>274</v>
      </c>
      <c r="G8" s="72">
        <v>1.895</v>
      </c>
      <c r="H8" s="72">
        <v>6.0000000000000001E-3</v>
      </c>
      <c r="I8" s="72">
        <f t="shared" si="0"/>
        <v>0.108</v>
      </c>
    </row>
    <row r="9" spans="1:13" ht="17.25" x14ac:dyDescent="0.25">
      <c r="A9" s="34" t="s">
        <v>275</v>
      </c>
      <c r="B9" s="72">
        <v>3.6</v>
      </c>
      <c r="C9" s="34" t="s">
        <v>266</v>
      </c>
      <c r="D9" s="72">
        <v>1</v>
      </c>
      <c r="E9" s="34" t="s">
        <v>256</v>
      </c>
      <c r="F9" s="34" t="s">
        <v>276</v>
      </c>
      <c r="G9" s="72">
        <v>1E-3</v>
      </c>
      <c r="H9" s="72">
        <v>1E-3</v>
      </c>
      <c r="I9" s="72">
        <f t="shared" si="0"/>
        <v>1E-3</v>
      </c>
    </row>
    <row r="10" spans="1:13" ht="17.25" x14ac:dyDescent="0.25">
      <c r="A10" s="34" t="s">
        <v>277</v>
      </c>
      <c r="B10" s="72">
        <v>3</v>
      </c>
      <c r="C10" s="34" t="s">
        <v>278</v>
      </c>
      <c r="D10" s="72">
        <v>1</v>
      </c>
      <c r="E10" s="34" t="s">
        <v>279</v>
      </c>
      <c r="F10" s="34" t="s">
        <v>280</v>
      </c>
      <c r="G10" s="72">
        <v>6.0000000000000001E-3</v>
      </c>
      <c r="H10" s="72">
        <v>6.0000000000000001E-3</v>
      </c>
      <c r="I10" s="72">
        <f t="shared" si="0"/>
        <v>6.0000000000000001E-3</v>
      </c>
      <c r="K10" s="36">
        <f>B15/G15</f>
        <v>30.943667763157901</v>
      </c>
      <c r="L10" t="s">
        <v>295</v>
      </c>
      <c r="M10" t="s">
        <v>294</v>
      </c>
    </row>
    <row r="11" spans="1:13" ht="17.25" x14ac:dyDescent="0.25">
      <c r="A11" s="74" t="s">
        <v>281</v>
      </c>
      <c r="B11" s="72">
        <v>0.66</v>
      </c>
      <c r="C11" s="34" t="s">
        <v>282</v>
      </c>
      <c r="D11" s="72">
        <v>1</v>
      </c>
      <c r="E11" s="34" t="s">
        <v>260</v>
      </c>
      <c r="F11" s="34" t="s">
        <v>283</v>
      </c>
      <c r="G11" s="72">
        <v>4.0000000000000001E-3</v>
      </c>
      <c r="H11" s="72">
        <v>4.0000000000000001E-3</v>
      </c>
      <c r="I11" s="72">
        <f t="shared" si="0"/>
        <v>4.0000000000000001E-3</v>
      </c>
      <c r="K11" s="36">
        <f>B15/I15</f>
        <v>520.79584775086494</v>
      </c>
      <c r="L11" t="s">
        <v>295</v>
      </c>
      <c r="M11" t="s">
        <v>293</v>
      </c>
    </row>
    <row r="12" spans="1:13" ht="17.25" x14ac:dyDescent="0.25">
      <c r="A12" s="34" t="s">
        <v>284</v>
      </c>
      <c r="B12" s="72">
        <v>7.05</v>
      </c>
      <c r="C12" s="34" t="s">
        <v>269</v>
      </c>
      <c r="D12" s="72">
        <v>3</v>
      </c>
      <c r="E12" s="34" t="s">
        <v>285</v>
      </c>
      <c r="F12" s="34" t="s">
        <v>286</v>
      </c>
      <c r="G12" s="72">
        <v>3.6999999999999998E-2</v>
      </c>
      <c r="H12" s="72">
        <v>6.0000000000000001E-3</v>
      </c>
      <c r="I12" s="72">
        <f t="shared" si="0"/>
        <v>1.8000000000000002E-2</v>
      </c>
    </row>
    <row r="13" spans="1:13" ht="17.25" x14ac:dyDescent="0.25">
      <c r="A13" s="34" t="s">
        <v>287</v>
      </c>
      <c r="B13" s="72">
        <v>21</v>
      </c>
      <c r="C13" s="34" t="s">
        <v>269</v>
      </c>
      <c r="D13" s="72">
        <v>5</v>
      </c>
      <c r="E13" s="34" t="s">
        <v>260</v>
      </c>
      <c r="F13" s="34" t="s">
        <v>288</v>
      </c>
      <c r="G13" s="72">
        <v>0.46700000000000003</v>
      </c>
      <c r="H13" s="72">
        <v>5.0000000000000001E-3</v>
      </c>
      <c r="I13" s="72">
        <f t="shared" si="0"/>
        <v>2.5000000000000001E-2</v>
      </c>
      <c r="K13" s="37">
        <f>G15/B15*100</f>
        <v>3.2316789582087564</v>
      </c>
      <c r="L13" t="s">
        <v>474</v>
      </c>
      <c r="M13" t="s">
        <v>294</v>
      </c>
    </row>
    <row r="14" spans="1:13" ht="17.25" x14ac:dyDescent="0.25">
      <c r="A14" s="34" t="s">
        <v>289</v>
      </c>
      <c r="B14" s="72">
        <v>39</v>
      </c>
      <c r="C14" s="34" t="s">
        <v>290</v>
      </c>
      <c r="D14" s="72">
        <v>9</v>
      </c>
      <c r="E14" s="34" t="s">
        <v>260</v>
      </c>
      <c r="F14" s="34" t="s">
        <v>291</v>
      </c>
      <c r="G14" s="72">
        <v>0.94</v>
      </c>
      <c r="H14" s="72">
        <v>5.0000000000000001E-3</v>
      </c>
      <c r="I14" s="72">
        <f>H14*D14</f>
        <v>4.4999999999999998E-2</v>
      </c>
      <c r="K14" s="37">
        <f>I15/B15*100</f>
        <v>0.19201381967975553</v>
      </c>
      <c r="L14" t="s">
        <v>474</v>
      </c>
      <c r="M14" t="s">
        <v>293</v>
      </c>
    </row>
    <row r="15" spans="1:13" ht="17.25" x14ac:dyDescent="0.25">
      <c r="A15" s="71"/>
      <c r="B15" s="75">
        <f>SUM(B3:B14)</f>
        <v>150.51</v>
      </c>
      <c r="C15" s="71"/>
      <c r="D15" s="75">
        <f>SUM(D3:D14)</f>
        <v>58</v>
      </c>
      <c r="E15" s="71"/>
      <c r="F15" s="71"/>
      <c r="G15" s="75">
        <f>SUM(G3:G14)</f>
        <v>4.863999999999999</v>
      </c>
      <c r="H15" s="75">
        <f>SUM(H3:H14)</f>
        <v>4.9999999999999996E-2</v>
      </c>
      <c r="I15" s="75">
        <f>SUM(I3:I14)</f>
        <v>0.28900000000000003</v>
      </c>
    </row>
    <row r="18" spans="1:13" ht="272.25" x14ac:dyDescent="0.25">
      <c r="A18" s="35" t="s">
        <v>292</v>
      </c>
    </row>
    <row r="20" spans="1:13" x14ac:dyDescent="0.25">
      <c r="A20" t="s">
        <v>475</v>
      </c>
    </row>
    <row r="21" spans="1:13" ht="53.25" x14ac:dyDescent="0.25">
      <c r="A21" s="71" t="s">
        <v>246</v>
      </c>
      <c r="B21" s="71" t="s">
        <v>247</v>
      </c>
      <c r="C21" s="71" t="s">
        <v>248</v>
      </c>
      <c r="D21" s="71" t="s">
        <v>249</v>
      </c>
      <c r="E21" s="71" t="s">
        <v>250</v>
      </c>
      <c r="F21" s="71" t="s">
        <v>251</v>
      </c>
      <c r="G21" s="71" t="s">
        <v>252</v>
      </c>
      <c r="H21" s="71" t="s">
        <v>253</v>
      </c>
      <c r="I21" s="71" t="s">
        <v>321</v>
      </c>
    </row>
    <row r="22" spans="1:13" x14ac:dyDescent="0.25">
      <c r="A22" s="116" t="s">
        <v>480</v>
      </c>
      <c r="B22">
        <v>1000</v>
      </c>
      <c r="C22" t="s">
        <v>476</v>
      </c>
      <c r="D22" t="s">
        <v>478</v>
      </c>
      <c r="E22" s="98" t="s">
        <v>481</v>
      </c>
      <c r="F22" t="s">
        <v>479</v>
      </c>
      <c r="G22">
        <v>183</v>
      </c>
      <c r="H22" s="98" t="s">
        <v>481</v>
      </c>
      <c r="I22" s="98" t="s">
        <v>481</v>
      </c>
      <c r="K22">
        <f>SUM(G22:G23)/SUM(B22:B23)*100</f>
        <v>14.000000000000002</v>
      </c>
      <c r="L22" t="s">
        <v>474</v>
      </c>
      <c r="M22" t="s">
        <v>294</v>
      </c>
    </row>
    <row r="23" spans="1:13" x14ac:dyDescent="0.25">
      <c r="A23" s="116" t="s">
        <v>483</v>
      </c>
      <c r="B23">
        <v>1200</v>
      </c>
      <c r="C23" t="s">
        <v>484</v>
      </c>
      <c r="D23">
        <v>80</v>
      </c>
      <c r="E23" s="98" t="s">
        <v>481</v>
      </c>
      <c r="F23" s="119" t="s">
        <v>485</v>
      </c>
      <c r="G23">
        <f>1.25*1.25*D23</f>
        <v>125</v>
      </c>
      <c r="H23" s="118" t="s">
        <v>481</v>
      </c>
      <c r="I23" s="118" t="s">
        <v>481</v>
      </c>
    </row>
  </sheetData>
  <hyperlinks>
    <hyperlink ref="A11" location="_ftn1" display="_ftn1" xr:uid="{204A3395-9C5B-4D74-8D56-EC04348BF270}"/>
    <hyperlink ref="A22" r:id="rId1" xr:uid="{AD56719B-008F-4470-8562-264317DF392C}"/>
    <hyperlink ref="A23" r:id="rId2" location="1683033165748-4e76be66-c3a5" xr:uid="{DA93019A-83CB-4C17-9DE8-2D982DCF9E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243F-C749-4C8E-89D7-09CAF3BED37B}">
  <dimension ref="A1:H19"/>
  <sheetViews>
    <sheetView workbookViewId="0">
      <selection activeCell="G12" sqref="G12"/>
    </sheetView>
  </sheetViews>
  <sheetFormatPr defaultRowHeight="15" x14ac:dyDescent="0.25"/>
  <cols>
    <col min="1" max="1" width="32" style="3" bestFit="1" customWidth="1"/>
    <col min="2" max="2" width="11.140625" style="3" bestFit="1" customWidth="1"/>
    <col min="3" max="3" width="65.42578125" style="3" customWidth="1"/>
    <col min="4" max="4" width="39" style="3" customWidth="1"/>
    <col min="5" max="5" width="25.85546875" style="3" bestFit="1" customWidth="1"/>
    <col min="6" max="16384" width="9.140625" style="3"/>
  </cols>
  <sheetData>
    <row r="1" spans="1:8" ht="30" x14ac:dyDescent="0.25">
      <c r="A1" s="79" t="s">
        <v>246</v>
      </c>
      <c r="B1" s="79" t="s">
        <v>296</v>
      </c>
      <c r="C1" s="79" t="s">
        <v>297</v>
      </c>
      <c r="D1" s="79" t="s">
        <v>251</v>
      </c>
      <c r="E1" s="76" t="s">
        <v>298</v>
      </c>
    </row>
    <row r="2" spans="1:8" x14ac:dyDescent="0.25">
      <c r="A2" s="76" t="s">
        <v>299</v>
      </c>
      <c r="B2" s="80">
        <f>989/1000</f>
        <v>0.98899999999999999</v>
      </c>
      <c r="C2" s="81" t="s">
        <v>269</v>
      </c>
      <c r="D2" s="81" t="s">
        <v>300</v>
      </c>
      <c r="E2" s="80">
        <v>0.18</v>
      </c>
    </row>
    <row r="3" spans="1:8" x14ac:dyDescent="0.25">
      <c r="A3" s="76" t="s">
        <v>301</v>
      </c>
      <c r="B3" s="80">
        <f>712.8/1000</f>
        <v>0.71279999999999999</v>
      </c>
      <c r="C3" s="81" t="s">
        <v>302</v>
      </c>
      <c r="D3" s="81" t="s">
        <v>303</v>
      </c>
      <c r="E3" s="80">
        <v>1.2E-2</v>
      </c>
    </row>
    <row r="4" spans="1:8" ht="17.25" x14ac:dyDescent="0.25">
      <c r="A4" s="81" t="s">
        <v>353</v>
      </c>
      <c r="B4" s="80">
        <f>1166.4/1000</f>
        <v>1.1664000000000001</v>
      </c>
      <c r="C4" s="81" t="s">
        <v>302</v>
      </c>
      <c r="D4" s="81" t="s">
        <v>304</v>
      </c>
      <c r="E4" s="80">
        <v>2.1000000000000001E-2</v>
      </c>
    </row>
    <row r="5" spans="1:8" ht="17.25" x14ac:dyDescent="0.25">
      <c r="A5" s="81" t="s">
        <v>354</v>
      </c>
      <c r="B5" s="80">
        <f>1166.4/1000</f>
        <v>1.1664000000000001</v>
      </c>
      <c r="C5" s="81" t="s">
        <v>302</v>
      </c>
      <c r="D5" s="81" t="s">
        <v>305</v>
      </c>
      <c r="E5" s="80">
        <v>2.1000000000000001E-2</v>
      </c>
    </row>
    <row r="6" spans="1:8" ht="17.25" x14ac:dyDescent="0.25">
      <c r="A6" s="81" t="s">
        <v>355</v>
      </c>
      <c r="B6" s="80">
        <f>66/1000</f>
        <v>6.6000000000000003E-2</v>
      </c>
      <c r="C6" s="81" t="s">
        <v>302</v>
      </c>
      <c r="D6" s="81" t="s">
        <v>306</v>
      </c>
      <c r="E6" s="80">
        <v>3.0000000000000001E-3</v>
      </c>
    </row>
    <row r="7" spans="1:8" x14ac:dyDescent="0.25">
      <c r="A7" s="76" t="s">
        <v>307</v>
      </c>
      <c r="B7" s="80">
        <v>10.5</v>
      </c>
      <c r="C7" s="81" t="s">
        <v>308</v>
      </c>
      <c r="D7" s="81" t="s">
        <v>309</v>
      </c>
      <c r="E7" s="80">
        <v>0.26</v>
      </c>
    </row>
    <row r="8" spans="1:8" x14ac:dyDescent="0.25">
      <c r="A8" s="81" t="s">
        <v>310</v>
      </c>
      <c r="B8" s="80">
        <f>(4*990)/1000</f>
        <v>3.96</v>
      </c>
      <c r="C8" s="81" t="s">
        <v>311</v>
      </c>
      <c r="D8" s="81" t="s">
        <v>312</v>
      </c>
      <c r="E8" s="80">
        <v>0.17399999999999999</v>
      </c>
    </row>
    <row r="9" spans="1:8" x14ac:dyDescent="0.25">
      <c r="A9" s="76" t="s">
        <v>313</v>
      </c>
      <c r="B9" s="80">
        <v>1.1000000000000001</v>
      </c>
      <c r="C9" s="81"/>
      <c r="D9" s="81" t="s">
        <v>314</v>
      </c>
      <c r="E9" s="80">
        <v>2.5999999999999999E-2</v>
      </c>
    </row>
    <row r="10" spans="1:8" x14ac:dyDescent="0.25">
      <c r="A10" s="76" t="s">
        <v>315</v>
      </c>
      <c r="B10" s="80">
        <f>400/1000</f>
        <v>0.4</v>
      </c>
      <c r="C10" s="81" t="s">
        <v>316</v>
      </c>
      <c r="D10" s="81" t="s">
        <v>317</v>
      </c>
      <c r="E10" s="80">
        <v>1.4999999999999999E-2</v>
      </c>
    </row>
    <row r="11" spans="1:8" x14ac:dyDescent="0.25">
      <c r="A11" s="82" t="s">
        <v>318</v>
      </c>
      <c r="B11" s="83">
        <f>SUM(B2:B10)</f>
        <v>20.060600000000001</v>
      </c>
      <c r="C11" s="84"/>
      <c r="D11" s="84"/>
      <c r="E11" s="83">
        <f>SUM(E2:E10)</f>
        <v>0.71200000000000008</v>
      </c>
      <c r="G11" s="77">
        <f>B11/E11</f>
        <v>28.174999999999997</v>
      </c>
      <c r="H11" s="3" t="s">
        <v>295</v>
      </c>
    </row>
    <row r="12" spans="1:8" x14ac:dyDescent="0.25">
      <c r="G12" s="77">
        <f>E11/B11</f>
        <v>3.5492457852706299E-2</v>
      </c>
      <c r="H12" s="3" t="s">
        <v>322</v>
      </c>
    </row>
    <row r="14" spans="1:8" ht="75" x14ac:dyDescent="0.25">
      <c r="A14" s="78" t="s">
        <v>319</v>
      </c>
    </row>
    <row r="15" spans="1:8" ht="47.25" x14ac:dyDescent="0.25">
      <c r="A15" s="85" t="s">
        <v>356</v>
      </c>
    </row>
    <row r="16" spans="1:8" x14ac:dyDescent="0.25">
      <c r="A16" s="78" t="s">
        <v>320</v>
      </c>
    </row>
    <row r="17" spans="1:1" ht="77.25" x14ac:dyDescent="0.25">
      <c r="A17" s="85" t="s">
        <v>357</v>
      </c>
    </row>
    <row r="18" spans="1:1" ht="47.25" x14ac:dyDescent="0.25">
      <c r="A18" s="85" t="s">
        <v>358</v>
      </c>
    </row>
    <row r="19" spans="1:1" ht="77.25" x14ac:dyDescent="0.25">
      <c r="A19" s="85" t="s">
        <v>359</v>
      </c>
    </row>
  </sheetData>
  <hyperlinks>
    <hyperlink ref="E1" location="_ftn1" display="_ftn1" xr:uid="{15D41772-692A-4FA5-9C2D-0628C614707A}"/>
    <hyperlink ref="A2" location="_ftn2" display="_ftn2" xr:uid="{3FD70C5B-E266-452E-9713-FCD8CC7D046C}"/>
    <hyperlink ref="A3" location="_ftn3" display="_ftn3" xr:uid="{F225080D-C229-49B6-931C-6B083F1A7A25}"/>
    <hyperlink ref="A7" location="_ftn4" display="_ftn4" xr:uid="{4AA18DEE-46F5-4E48-B094-68797C3D423C}"/>
    <hyperlink ref="A9" location="_ftn5" display="_ftn5" xr:uid="{D4170BA3-C0D5-4149-A64E-B512D411E98D}"/>
    <hyperlink ref="A10" location="_ftn6" display="_ftn6" xr:uid="{1CB9EB4E-54EA-41BB-8ACA-A90116279CC1}"/>
    <hyperlink ref="A14" location="_ftnref1" display="_ftnref1" xr:uid="{4DB5FC5F-E4B8-470E-9B2E-93B8D60EF3CF}"/>
    <hyperlink ref="A16" location="_ftnref3" display="_ftnref3" xr:uid="{86678582-00FB-4A4A-B332-E06C3D0CC1E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66EE3239044A747B41C5A16BB5A7E3E" ma:contentTypeVersion="10" ma:contentTypeDescription="Loo uus dokument" ma:contentTypeScope="" ma:versionID="d04013a76fb9cd1daed57cfb785ed92c">
  <xsd:schema xmlns:xsd="http://www.w3.org/2001/XMLSchema" xmlns:xs="http://www.w3.org/2001/XMLSchema" xmlns:p="http://schemas.microsoft.com/office/2006/metadata/properties" xmlns:ns2="805e0d89-5f3c-46bb-a03f-7c322c5a71fc" xmlns:ns3="a29a4ee8-feef-4cf4-a5ec-1a2e2b1f03f0" targetNamespace="http://schemas.microsoft.com/office/2006/metadata/properties" ma:root="true" ma:fieldsID="b940ff30d0f706e31c0bcbd3fceb8d8e" ns2:_="" ns3:_="">
    <xsd:import namespace="805e0d89-5f3c-46bb-a03f-7c322c5a71fc"/>
    <xsd:import namespace="a29a4ee8-feef-4cf4-a5ec-1a2e2b1f03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e0d89-5f3c-46bb-a03f-7c322c5a71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9a4ee8-feef-4cf4-a5ec-1a2e2b1f03f0" elementFormDefault="qualified">
    <xsd:import namespace="http://schemas.microsoft.com/office/2006/documentManagement/types"/>
    <xsd:import namespace="http://schemas.microsoft.com/office/infopath/2007/PartnerControls"/>
    <xsd:element name="SharedWithUsers" ma:index="12"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FAD639-0667-455C-9D0A-72AE620071B8}">
  <ds:schemaRefs>
    <ds:schemaRef ds:uri="http://schemas.microsoft.com/sharepoint/v3/contenttype/forms"/>
  </ds:schemaRefs>
</ds:datastoreItem>
</file>

<file path=customXml/itemProps2.xml><?xml version="1.0" encoding="utf-8"?>
<ds:datastoreItem xmlns:ds="http://schemas.openxmlformats.org/officeDocument/2006/customXml" ds:itemID="{FE3A419B-1C09-477E-A86B-717766B37D2A}">
  <ds:schemaRefs>
    <ds:schemaRef ds:uri="http://purl.org/dc/terms/"/>
    <ds:schemaRef ds:uri="http://schemas.openxmlformats.org/package/2006/metadata/core-properties"/>
    <ds:schemaRef ds:uri="http://purl.org/dc/elements/1.1/"/>
    <ds:schemaRef ds:uri="805e0d89-5f3c-46bb-a03f-7c322c5a71fc"/>
    <ds:schemaRef ds:uri="http://schemas.microsoft.com/office/2006/documentManagement/types"/>
    <ds:schemaRef ds:uri="http://schemas.microsoft.com/office/infopath/2007/PartnerControls"/>
    <ds:schemaRef ds:uri="a29a4ee8-feef-4cf4-a5ec-1a2e2b1f03f0"/>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D7FBC63-A36A-4583-B472-A747988B01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e0d89-5f3c-46bb-a03f-7c322c5a71fc"/>
    <ds:schemaRef ds:uri="a29a4ee8-feef-4cf4-a5ec-1a2e2b1f03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Tõetamm</vt:lpstr>
      <vt:lpstr>tehnoloogiad</vt:lpstr>
      <vt:lpstr>stsenaariumid elekter</vt:lpstr>
      <vt:lpstr>stsenaariumid soojus ja jahutus</vt:lpstr>
      <vt:lpstr>stsenaariumid gaasivõrgu dekarb</vt:lpstr>
      <vt:lpstr>õhuheitmed põlevkivielektrijam</vt:lpstr>
      <vt:lpstr>tuul ühikväärtused</vt:lpstr>
      <vt:lpstr>päike ühikväärtused</vt:lpstr>
      <vt:lpstr>'päike ühikväärtused'!_ftn1</vt:lpstr>
      <vt:lpstr>'päike ühikväärtused'!_ftn3</vt:lpstr>
      <vt:lpstr>'tuul ühikväärtused'!_ftnref1</vt:lpstr>
      <vt:lpstr>'päike ühikväärtused'!_ftnref2</vt:lpstr>
      <vt:lpstr>'päike ühikväärtused'!_ftnref3</vt:lpstr>
      <vt:lpstr>'päike ühikväärtused'!_ftnref4</vt:lpstr>
      <vt:lpstr>'päike ühikväärtused'!_ftnref5</vt:lpstr>
      <vt:lpstr>'päike ühikväärtused'!_ftnref6</vt:lpstr>
      <vt:lpstr>'päike ühikväärtused'!_Ref159943250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Kadri Normak</dc:creator>
  <cp:lastModifiedBy>Karl Kupits</cp:lastModifiedBy>
  <dcterms:created xsi:type="dcterms:W3CDTF">2023-04-18T12:15:26Z</dcterms:created>
  <dcterms:modified xsi:type="dcterms:W3CDTF">2024-04-18T11:48:58Z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0x010100C66EE3239044A747B41C5A16BB5A7E3E</vt:lpwstr>
  </property>
</Properties>
</file>